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Dashboard" sheetId="1" state="visible" r:id="rId1"/>
    <sheet xmlns:r="http://schemas.openxmlformats.org/officeDocument/2006/relationships" name="Energy Data Input" sheetId="2" state="visible" r:id="rId2"/>
    <sheet xmlns:r="http://schemas.openxmlformats.org/officeDocument/2006/relationships" name="Anomaly Detection" sheetId="3" state="visible" r:id="rId3"/>
    <sheet xmlns:r="http://schemas.openxmlformats.org/officeDocument/2006/relationships" name="Closed-loop Actions" sheetId="4" state="visible" r:id="rId4"/>
    <sheet xmlns:r="http://schemas.openxmlformats.org/officeDocument/2006/relationships" name="Monthly Summary" sheetId="5" state="visible" r:id="rId5"/>
    <sheet xmlns:r="http://schemas.openxmlformats.org/officeDocument/2006/relationships" name="Anomaly Rules" sheetId="6" state="visible" r:id="rId6"/>
    <sheet xmlns:r="http://schemas.openxmlformats.org/officeDocument/2006/relationships" name="Scenario Library" sheetId="7" state="visible" r:id="rId7"/>
    <sheet xmlns:r="http://schemas.openxmlformats.org/officeDocument/2006/relationships" name="Base Settings" sheetId="8" state="visible" r:id="rId8"/>
    <sheet xmlns:r="http://schemas.openxmlformats.org/officeDocument/2006/relationships" name="Instructions_Source" sheetId="9" state="visible" r:id="rId9"/>
  </sheets>
  <definedNames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¥#,##0.00"/>
    <numFmt numFmtId="166" formatCode="yyyy-mm"/>
    <numFmt numFmtId="167" formatCode="#,##0.0"/>
  </numFmts>
  <fonts count="7">
    <font>
      <name val="Carlito"/>
      <sz val="11"/>
    </font>
    <font>
      <name val="Carlito"/>
      <b val="1"/>
      <color rgb="00FFFFFF"/>
      <sz val="18"/>
    </font>
    <font>
      <name val="Carlito"/>
      <color rgb="00334155"/>
      <sz val="10"/>
    </font>
    <font>
      <name val="Carlito"/>
      <b val="1"/>
      <sz val="11"/>
    </font>
    <font>
      <name val="Carlito"/>
      <b val="1"/>
      <color rgb="00FFFFFF"/>
      <sz val="10"/>
    </font>
    <font>
      <name val="Carlito"/>
      <b val="1"/>
      <color rgb="000F172A"/>
      <sz val="16"/>
    </font>
    <font>
      <name val="Carlito"/>
      <b val="1"/>
      <color rgb="000F172A"/>
      <sz val="10"/>
    </font>
  </fonts>
  <fills count="11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8FAFC"/>
      </patternFill>
    </fill>
    <fill>
      <patternFill patternType="solid">
        <fgColor rgb="00E0F2FE"/>
      </patternFill>
    </fill>
    <fill>
      <patternFill patternType="solid">
        <fgColor rgb="00FEF9C3"/>
      </patternFill>
    </fill>
    <fill>
      <patternFill patternType="solid">
        <fgColor rgb="000F766E"/>
      </patternFill>
    </fill>
    <fill>
      <patternFill patternType="solid">
        <fgColor rgb="001D4ED8"/>
      </patternFill>
    </fill>
    <fill>
      <patternFill patternType="solid">
        <fgColor rgb="000E7490"/>
      </patternFill>
    </fill>
    <fill>
      <patternFill patternType="solid">
        <fgColor rgb="007C3AED"/>
      </patternFill>
    </fill>
    <fill>
      <patternFill patternType="solid">
        <fgColor rgb="00B45309"/>
      </patternFill>
    </fill>
  </fills>
  <borders count="2">
    <border/>
    <border/>
  </borders>
  <cellStyleXfs count="1">
    <xf numFmtId="0" fontId="0" fillId="0" borderId="1"/>
  </cellStyleXfs>
  <cellXfs count="150">
    <xf numFmtId="0" fontId="0" fillId="0" borderId="0" pivotButton="0" quotePrefix="0" xfId="0"/>
    <xf numFmtId="0" fontId="0" fillId="0" borderId="1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0" applyAlignment="1" pivotButton="0" quotePrefix="0" xfId="0">
      <alignment horizontal="left"/>
    </xf>
    <xf numFmtId="0" fontId="1" fillId="2" borderId="0" applyAlignment="1" pivotButton="0" quotePrefix="0" xfId="0">
      <alignment horizontal="left" vertical="center"/>
    </xf>
    <xf numFmtId="0" fontId="0" fillId="2" borderId="1" pivotButton="0" quotePrefix="0" xfId="0"/>
    <xf numFmtId="0" fontId="1" fillId="2" borderId="1" pivotButton="0" quotePrefix="0" xfId="0"/>
    <xf numFmtId="0" fontId="1" fillId="2" borderId="1" applyAlignment="1" pivotButton="0" quotePrefix="0" xfId="0">
      <alignment horizontal="left"/>
    </xf>
    <xf numFmtId="0" fontId="1" fillId="2" borderId="1" applyAlignment="1" pivotButton="0" quotePrefix="0" xfId="0">
      <alignment horizontal="left" vertical="center"/>
    </xf>
    <xf numFmtId="0" fontId="0" fillId="3" borderId="0" pivotButton="0" quotePrefix="0" xfId="0"/>
    <xf numFmtId="0" fontId="2" fillId="3" borderId="0" pivotButton="0" quotePrefix="0" xfId="0"/>
    <xf numFmtId="0" fontId="2" fillId="3" borderId="0" applyAlignment="1" pivotButton="0" quotePrefix="0" xfId="0">
      <alignment wrapText="1"/>
    </xf>
    <xf numFmtId="0" fontId="2" fillId="3" borderId="0" applyAlignment="1" pivotButton="0" quotePrefix="0" xfId="0">
      <alignment vertical="top" wrapText="1"/>
    </xf>
    <xf numFmtId="0" fontId="0" fillId="3" borderId="1" pivotButton="0" quotePrefix="0" xfId="0"/>
    <xf numFmtId="0" fontId="2" fillId="3" borderId="1" pivotButton="0" quotePrefix="0" xfId="0"/>
    <xf numFmtId="0" fontId="2" fillId="3" borderId="1" applyAlignment="1" pivotButton="0" quotePrefix="0" xfId="0">
      <alignment wrapText="1"/>
    </xf>
    <xf numFmtId="0" fontId="2" fillId="3" borderId="1" applyAlignment="1" pivotButton="0" quotePrefix="0" xfId="0">
      <alignment vertical="top" wrapText="1"/>
    </xf>
    <xf numFmtId="0" fontId="0" fillId="4" borderId="0" pivotButton="0" quotePrefix="0" xfId="0"/>
    <xf numFmtId="0" fontId="3" fillId="4" borderId="0" pivotButton="0" quotePrefix="0" xfId="0"/>
    <xf numFmtId="0" fontId="0" fillId="4" borderId="1" pivotButton="0" quotePrefix="0" xfId="0"/>
    <xf numFmtId="0" fontId="3" fillId="4" borderId="1" pivotButton="0" quotePrefix="0" xfId="0"/>
    <xf numFmtId="0" fontId="0" fillId="5" borderId="0" pivotButton="0" quotePrefix="0" xfId="0"/>
    <xf numFmtId="0" fontId="0" fillId="5" borderId="1" pivotButton="0" quotePrefix="0" xfId="0"/>
    <xf numFmtId="164" fontId="0" fillId="5" borderId="0" pivotButton="0" quotePrefix="0" xfId="0"/>
    <xf numFmtId="164" fontId="0" fillId="5" borderId="1" pivotButton="0" quotePrefix="0" xfId="0"/>
    <xf numFmtId="0" fontId="0" fillId="6" borderId="0" pivotButton="0" quotePrefix="0" xfId="0"/>
    <xf numFmtId="0" fontId="4" fillId="6" borderId="0" pivotButton="0" quotePrefix="0" xfId="0"/>
    <xf numFmtId="0" fontId="4" fillId="6" borderId="0" applyAlignment="1" pivotButton="0" quotePrefix="0" xfId="0">
      <alignment wrapText="1"/>
    </xf>
    <xf numFmtId="0" fontId="4" fillId="6" borderId="0" applyAlignment="1" pivotButton="0" quotePrefix="0" xfId="0">
      <alignment horizontal="center" wrapText="1"/>
    </xf>
    <xf numFmtId="0" fontId="4" fillId="6" borderId="0" applyAlignment="1" pivotButton="0" quotePrefix="0" xfId="0">
      <alignment horizontal="center" vertical="center" wrapText="1"/>
    </xf>
    <xf numFmtId="0" fontId="0" fillId="6" borderId="1" pivotButton="0" quotePrefix="0" xfId="0"/>
    <xf numFmtId="0" fontId="4" fillId="6" borderId="1" pivotButton="0" quotePrefix="0" xfId="0"/>
    <xf numFmtId="0" fontId="4" fillId="6" borderId="1" applyAlignment="1" pivotButton="0" quotePrefix="0" xfId="0">
      <alignment wrapText="1"/>
    </xf>
    <xf numFmtId="0" fontId="4" fillId="6" borderId="1" applyAlignment="1" pivotButton="0" quotePrefix="0" xfId="0">
      <alignment horizontal="center" wrapText="1"/>
    </xf>
    <xf numFmtId="0" fontId="4" fillId="6" borderId="1" applyAlignment="1" pivotButton="0" quotePrefix="0" xfId="0">
      <alignment horizontal="center" vertical="center" wrapText="1"/>
    </xf>
    <xf numFmtId="2" fontId="0" fillId="0" borderId="0" pivotButton="0" quotePrefix="0" xfId="0"/>
    <xf numFmtId="2" fontId="0" fillId="0" borderId="1" pivotButton="0" quotePrefix="0" xfId="0"/>
    <xf numFmtId="9" fontId="0" fillId="0" borderId="0" pivotButton="0" quotePrefix="0" xfId="0"/>
    <xf numFmtId="9" fontId="0" fillId="0" borderId="1" pivotButton="0" quotePrefix="0" xfId="0"/>
    <xf numFmtId="0" fontId="0" fillId="7" borderId="0" pivotButton="0" quotePrefix="0" xfId="0"/>
    <xf numFmtId="0" fontId="4" fillId="7" borderId="0" pivotButton="0" quotePrefix="0" xfId="0"/>
    <xf numFmtId="0" fontId="4" fillId="7" borderId="0" applyAlignment="1" pivotButton="0" quotePrefix="0" xfId="0">
      <alignment wrapText="1"/>
    </xf>
    <xf numFmtId="0" fontId="4" fillId="7" borderId="0" applyAlignment="1" pivotButton="0" quotePrefix="0" xfId="0">
      <alignment horizontal="center" wrapText="1"/>
    </xf>
    <xf numFmtId="0" fontId="4" fillId="7" borderId="0" applyAlignment="1" pivotButton="0" quotePrefix="0" xfId="0">
      <alignment horizontal="center" vertical="center" wrapText="1"/>
    </xf>
    <xf numFmtId="0" fontId="0" fillId="7" borderId="1" pivotButton="0" quotePrefix="0" xfId="0"/>
    <xf numFmtId="0" fontId="4" fillId="7" borderId="1" pivotButton="0" quotePrefix="0" xfId="0"/>
    <xf numFmtId="0" fontId="4" fillId="7" borderId="1" applyAlignment="1" pivotButton="0" quotePrefix="0" xfId="0">
      <alignment wrapText="1"/>
    </xf>
    <xf numFmtId="0" fontId="4" fillId="7" borderId="1" applyAlignment="1" pivotButton="0" quotePrefix="0" xfId="0">
      <alignment horizontal="center" wrapText="1"/>
    </xf>
    <xf numFmtId="0" fontId="4" fillId="7" borderId="1" applyAlignment="1" pivotButton="0" quotePrefix="0" xfId="0">
      <alignment horizontal="center" vertical="center" wrapText="1"/>
    </xf>
    <xf numFmtId="0" fontId="0" fillId="8" borderId="0" pivotButton="0" quotePrefix="0" xfId="0"/>
    <xf numFmtId="0" fontId="4" fillId="8" borderId="0" pivotButton="0" quotePrefix="0" xfId="0"/>
    <xf numFmtId="0" fontId="4" fillId="8" borderId="0" applyAlignment="1" pivotButton="0" quotePrefix="0" xfId="0">
      <alignment wrapText="1"/>
    </xf>
    <xf numFmtId="0" fontId="4" fillId="8" borderId="0" applyAlignment="1" pivotButton="0" quotePrefix="0" xfId="0">
      <alignment horizontal="center" wrapText="1"/>
    </xf>
    <xf numFmtId="0" fontId="4" fillId="8" borderId="0" applyAlignment="1" pivotButton="0" quotePrefix="0" xfId="0">
      <alignment horizontal="center" vertical="center" wrapText="1"/>
    </xf>
    <xf numFmtId="0" fontId="0" fillId="8" borderId="1" pivotButton="0" quotePrefix="0" xfId="0"/>
    <xf numFmtId="0" fontId="4" fillId="8" borderId="1" pivotButton="0" quotePrefix="0" xfId="0"/>
    <xf numFmtId="0" fontId="4" fillId="8" borderId="1" applyAlignment="1" pivotButton="0" quotePrefix="0" xfId="0">
      <alignment wrapText="1"/>
    </xf>
    <xf numFmtId="0" fontId="4" fillId="8" borderId="1" applyAlignment="1" pivotButton="0" quotePrefix="0" xfId="0">
      <alignment horizontal="center" wrapText="1"/>
    </xf>
    <xf numFmtId="0" fontId="4" fillId="8" borderId="1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left" vertical="center" wrapText="1"/>
    </xf>
    <xf numFmtId="0" fontId="1" fillId="2" borderId="1" applyAlignment="1" pivotButton="0" quotePrefix="0" xfId="0">
      <alignment horizontal="left" vertical="center" wrapText="1"/>
    </xf>
    <xf numFmtId="0" fontId="0" fillId="9" borderId="0" pivotButton="0" quotePrefix="0" xfId="0"/>
    <xf numFmtId="0" fontId="4" fillId="9" borderId="0" pivotButton="0" quotePrefix="0" xfId="0"/>
    <xf numFmtId="0" fontId="4" fillId="9" borderId="0" applyAlignment="1" pivotButton="0" quotePrefix="0" xfId="0">
      <alignment wrapText="1"/>
    </xf>
    <xf numFmtId="0" fontId="4" fillId="9" borderId="0" applyAlignment="1" pivotButton="0" quotePrefix="0" xfId="0">
      <alignment horizontal="center" wrapText="1"/>
    </xf>
    <xf numFmtId="0" fontId="4" fillId="9" borderId="0" applyAlignment="1" pivotButton="0" quotePrefix="0" xfId="0">
      <alignment horizontal="center" vertical="center" wrapText="1"/>
    </xf>
    <xf numFmtId="0" fontId="0" fillId="9" borderId="1" pivotButton="0" quotePrefix="0" xfId="0"/>
    <xf numFmtId="0" fontId="4" fillId="9" borderId="1" pivotButton="0" quotePrefix="0" xfId="0"/>
    <xf numFmtId="0" fontId="4" fillId="9" borderId="1" applyAlignment="1" pivotButton="0" quotePrefix="0" xfId="0">
      <alignment wrapText="1"/>
    </xf>
    <xf numFmtId="0" fontId="4" fillId="9" borderId="1" applyAlignment="1" pivotButton="0" quotePrefix="0" xfId="0">
      <alignment horizontal="center" wrapText="1"/>
    </xf>
    <xf numFmtId="0" fontId="4" fillId="9" borderId="1" applyAlignment="1" pivotButton="0" quotePrefix="0" xfId="0">
      <alignment horizontal="center" vertical="center" wrapText="1"/>
    </xf>
    <xf numFmtId="164" fontId="0" fillId="0" borderId="0" pivotButton="0" quotePrefix="0" xfId="0"/>
    <xf numFmtId="164" fontId="0" fillId="0" borderId="1" pivotButton="0" quotePrefix="0" xfId="0"/>
    <xf numFmtId="4" fontId="0" fillId="0" borderId="0" pivotButton="0" quotePrefix="0" xfId="0"/>
    <xf numFmtId="4" fontId="0" fillId="0" borderId="1" pivotButton="0" quotePrefix="0" xfId="0"/>
    <xf numFmtId="4" fontId="0" fillId="5" borderId="0" pivotButton="0" quotePrefix="0" xfId="0"/>
    <xf numFmtId="4" fontId="0" fillId="5" borderId="1" pivotButton="0" quotePrefix="0" xfId="0"/>
    <xf numFmtId="4" fontId="0" fillId="4" borderId="0" pivotButton="0" quotePrefix="0" xfId="0"/>
    <xf numFmtId="4" fontId="0" fillId="4" borderId="1" pivotButton="0" quotePrefix="0" xfId="0"/>
    <xf numFmtId="0" fontId="0" fillId="5" borderId="0" applyAlignment="1" pivotButton="0" quotePrefix="0" xfId="0">
      <alignment wrapText="1"/>
    </xf>
    <xf numFmtId="164" fontId="0" fillId="5" borderId="0" applyAlignment="1" pivotButton="0" quotePrefix="0" xfId="0">
      <alignment wrapText="1"/>
    </xf>
    <xf numFmtId="0" fontId="0" fillId="4" borderId="0" applyAlignment="1" pivotButton="0" quotePrefix="0" xfId="0">
      <alignment wrapText="1"/>
    </xf>
    <xf numFmtId="4" fontId="0" fillId="5" borderId="0" applyAlignment="1" pivotButton="0" quotePrefix="0" xfId="0">
      <alignment wrapText="1"/>
    </xf>
    <xf numFmtId="4" fontId="0" fillId="4" borderId="0" applyAlignment="1" pivotButton="0" quotePrefix="0" xfId="0">
      <alignment wrapText="1"/>
    </xf>
    <xf numFmtId="0" fontId="0" fillId="5" borderId="1" applyAlignment="1" pivotButton="0" quotePrefix="0" xfId="0">
      <alignment wrapText="1"/>
    </xf>
    <xf numFmtId="164" fontId="0" fillId="5" borderId="1" applyAlignment="1" pivotButton="0" quotePrefix="0" xfId="0">
      <alignment wrapText="1"/>
    </xf>
    <xf numFmtId="0" fontId="0" fillId="4" borderId="1" applyAlignment="1" pivotButton="0" quotePrefix="0" xfId="0">
      <alignment wrapText="1"/>
    </xf>
    <xf numFmtId="4" fontId="0" fillId="5" borderId="1" applyAlignment="1" pivotButton="0" quotePrefix="0" xfId="0">
      <alignment wrapText="1"/>
    </xf>
    <xf numFmtId="4" fontId="0" fillId="4" borderId="1" applyAlignment="1" pivotButton="0" quotePrefix="0" xfId="0">
      <alignment wrapText="1"/>
    </xf>
    <xf numFmtId="0" fontId="0" fillId="10" borderId="0" pivotButton="0" quotePrefix="0" xfId="0"/>
    <xf numFmtId="0" fontId="4" fillId="10" borderId="0" pivotButton="0" quotePrefix="0" xfId="0"/>
    <xf numFmtId="0" fontId="4" fillId="10" borderId="0" applyAlignment="1" pivotButton="0" quotePrefix="0" xfId="0">
      <alignment wrapText="1"/>
    </xf>
    <xf numFmtId="0" fontId="4" fillId="10" borderId="0" applyAlignment="1" pivotButton="0" quotePrefix="0" xfId="0">
      <alignment horizontal="center" wrapText="1"/>
    </xf>
    <xf numFmtId="0" fontId="4" fillId="10" borderId="0" applyAlignment="1" pivotButton="0" quotePrefix="0" xfId="0">
      <alignment horizontal="center" vertical="center" wrapText="1"/>
    </xf>
    <xf numFmtId="0" fontId="0" fillId="10" borderId="1" pivotButton="0" quotePrefix="0" xfId="0"/>
    <xf numFmtId="0" fontId="4" fillId="10" borderId="1" pivotButton="0" quotePrefix="0" xfId="0"/>
    <xf numFmtId="0" fontId="4" fillId="10" borderId="1" applyAlignment="1" pivotButton="0" quotePrefix="0" xfId="0">
      <alignment wrapText="1"/>
    </xf>
    <xf numFmtId="0" fontId="4" fillId="10" borderId="1" applyAlignment="1" pivotButton="0" quotePrefix="0" xfId="0">
      <alignment horizontal="center" wrapText="1"/>
    </xf>
    <xf numFmtId="0" fontId="4" fillId="10" borderId="1" applyAlignment="1" pivotButton="0" quotePrefix="0" xfId="0">
      <alignment horizontal="center" vertical="center" wrapText="1"/>
    </xf>
    <xf numFmtId="165" fontId="0" fillId="0" borderId="0" pivotButton="0" quotePrefix="0" xfId="0"/>
    <xf numFmtId="165" fontId="0" fillId="0" borderId="1" pivotButton="0" quotePrefix="0" xfId="0"/>
    <xf numFmtId="0" fontId="0" fillId="0" borderId="0" applyAlignment="1" pivotButton="0" quotePrefix="0" xfId="0">
      <alignment wrapText="1"/>
    </xf>
    <xf numFmtId="164" fontId="0" fillId="0" borderId="0" applyAlignment="1" pivotButton="0" quotePrefix="0" xfId="0">
      <alignment wrapText="1"/>
    </xf>
    <xf numFmtId="4" fontId="0" fillId="0" borderId="0" applyAlignment="1" pivotButton="0" quotePrefix="0" xfId="0">
      <alignment wrapText="1"/>
    </xf>
    <xf numFmtId="9" fontId="0" fillId="0" borderId="0" applyAlignment="1" pivotButton="0" quotePrefix="0" xfId="0">
      <alignment wrapText="1"/>
    </xf>
    <xf numFmtId="165" fontId="0" fillId="0" borderId="0" applyAlignment="1" pivotButton="0" quotePrefix="0" xfId="0">
      <alignment wrapText="1"/>
    </xf>
    <xf numFmtId="0" fontId="0" fillId="0" borderId="1" applyAlignment="1" pivotButton="0" quotePrefix="0" xfId="0">
      <alignment wrapText="1"/>
    </xf>
    <xf numFmtId="164" fontId="0" fillId="0" borderId="1" applyAlignment="1" pivotButton="0" quotePrefix="0" xfId="0">
      <alignment wrapText="1"/>
    </xf>
    <xf numFmtId="4" fontId="0" fillId="0" borderId="1" applyAlignment="1" pivotButton="0" quotePrefix="0" xfId="0">
      <alignment wrapText="1"/>
    </xf>
    <xf numFmtId="9" fontId="0" fillId="0" borderId="1" applyAlignment="1" pivotButton="0" quotePrefix="0" xfId="0">
      <alignment wrapText="1"/>
    </xf>
    <xf numFmtId="165" fontId="0" fillId="0" borderId="1" applyAlignment="1" pivotButton="0" quotePrefix="0" xfId="0">
      <alignment wrapText="1"/>
    </xf>
    <xf numFmtId="166" fontId="0" fillId="0" borderId="0" pivotButton="0" quotePrefix="0" xfId="0"/>
    <xf numFmtId="166" fontId="0" fillId="0" borderId="1" pivotButton="0" quotePrefix="0" xfId="0"/>
    <xf numFmtId="1" fontId="0" fillId="0" borderId="0" pivotButton="0" quotePrefix="0" xfId="0"/>
    <xf numFmtId="1" fontId="0" fillId="0" borderId="1" pivotButton="0" quotePrefix="0" xfId="0"/>
    <xf numFmtId="0" fontId="5" fillId="3" borderId="0" pivotButton="0" quotePrefix="0" xfId="0"/>
    <xf numFmtId="0" fontId="5" fillId="3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5" fillId="3" borderId="1" pivotButton="0" quotePrefix="0" xfId="0"/>
    <xf numFmtId="0" fontId="5" fillId="3" borderId="1" applyAlignment="1" pivotButton="0" quotePrefix="0" xfId="0">
      <alignment horizontal="center"/>
    </xf>
    <xf numFmtId="0" fontId="5" fillId="3" borderId="1" applyAlignment="1" pivotButton="0" quotePrefix="0" xfId="0">
      <alignment horizontal="center" vertical="center"/>
    </xf>
    <xf numFmtId="4" fontId="5" fillId="3" borderId="0" applyAlignment="1" pivotButton="0" quotePrefix="0" xfId="0">
      <alignment horizontal="center" vertical="center"/>
    </xf>
    <xf numFmtId="4" fontId="5" fillId="3" borderId="1" applyAlignment="1" pivotButton="0" quotePrefix="0" xfId="0">
      <alignment horizontal="center" vertical="center"/>
    </xf>
    <xf numFmtId="165" fontId="5" fillId="3" borderId="0" applyAlignment="1" pivotButton="0" quotePrefix="0" xfId="0">
      <alignment horizontal="center" vertical="center"/>
    </xf>
    <xf numFmtId="165" fontId="5" fillId="3" borderId="1" applyAlignment="1" pivotButton="0" quotePrefix="0" xfId="0">
      <alignment horizontal="center" vertical="center"/>
    </xf>
    <xf numFmtId="1" fontId="5" fillId="3" borderId="0" applyAlignment="1" pivotButton="0" quotePrefix="0" xfId="0">
      <alignment horizontal="center" vertical="center"/>
    </xf>
    <xf numFmtId="1" fontId="5" fillId="3" borderId="1" applyAlignment="1" pivotButton="0" quotePrefix="0" xfId="0">
      <alignment horizontal="center" vertical="center"/>
    </xf>
    <xf numFmtId="167" fontId="0" fillId="0" borderId="0" pivotButton="0" quotePrefix="0" xfId="0"/>
    <xf numFmtId="167" fontId="0" fillId="0" borderId="1" pivotButton="0" quotePrefix="0" xfId="0"/>
    <xf numFmtId="0" fontId="2" fillId="4" borderId="0" applyAlignment="1" pivotButton="0" quotePrefix="0" xfId="0">
      <alignment vertical="top" wrapText="1"/>
    </xf>
    <xf numFmtId="0" fontId="6" fillId="4" borderId="0" applyAlignment="1" pivotButton="0" quotePrefix="0" xfId="0">
      <alignment vertical="top" wrapText="1"/>
    </xf>
    <xf numFmtId="4" fontId="5" fillId="3" borderId="0" applyAlignment="1" pivotButton="0" quotePrefix="0" xfId="0">
      <alignment horizontal="center" vertical="center"/>
    </xf>
    <xf numFmtId="165" fontId="5" fillId="3" borderId="0" applyAlignment="1" pivotButton="0" quotePrefix="0" xfId="0">
      <alignment horizontal="center" vertical="center"/>
    </xf>
    <xf numFmtId="1" fontId="5" fillId="3" borderId="0" applyAlignment="1" pivotButton="0" quotePrefix="0" xfId="0">
      <alignment horizontal="center" vertical="center"/>
    </xf>
    <xf numFmtId="164" fontId="0" fillId="5" borderId="0" pivotButton="0" quotePrefix="0" xfId="0"/>
    <xf numFmtId="166" fontId="0" fillId="0" borderId="0" pivotButton="0" quotePrefix="0" xfId="0"/>
    <xf numFmtId="167" fontId="0" fillId="0" borderId="0" pivotButton="0" quotePrefix="0" xfId="0"/>
    <xf numFmtId="164" fontId="0" fillId="5" borderId="0" applyAlignment="1" pivotButton="0" quotePrefix="0" xfId="0">
      <alignment wrapText="1"/>
    </xf>
    <xf numFmtId="4" fontId="0" fillId="5" borderId="0" applyAlignment="1" pivotButton="0" quotePrefix="0" xfId="0">
      <alignment wrapText="1"/>
    </xf>
    <xf numFmtId="4" fontId="0" fillId="4" borderId="0" applyAlignment="1" pivotButton="0" quotePrefix="0" xfId="0">
      <alignment wrapText="1"/>
    </xf>
    <xf numFmtId="164" fontId="0" fillId="0" borderId="0" applyAlignment="1" pivotButton="0" quotePrefix="0" xfId="0">
      <alignment wrapText="1"/>
    </xf>
    <xf numFmtId="4" fontId="0" fillId="0" borderId="0" applyAlignment="1" pivotButton="0" quotePrefix="0" xfId="0">
      <alignment wrapText="1"/>
    </xf>
    <xf numFmtId="9" fontId="0" fillId="0" borderId="0" applyAlignment="1" pivotButton="0" quotePrefix="0" xfId="0">
      <alignment wrapText="1"/>
    </xf>
    <xf numFmtId="165" fontId="0" fillId="0" borderId="0" applyAlignment="1" pivotButton="0" quotePrefix="0" xfId="0">
      <alignment wrapText="1"/>
    </xf>
    <xf numFmtId="4" fontId="0" fillId="0" borderId="0" pivotButton="0" quotePrefix="0" xfId="0"/>
    <xf numFmtId="165" fontId="0" fillId="0" borderId="0" pivotButton="0" quotePrefix="0" xfId="0"/>
    <xf numFmtId="1" fontId="0" fillId="0" borderId="0" pivotButton="0" quotePrefix="0" xfId="0"/>
    <xf numFmtId="2" fontId="0" fillId="0" borderId="0" pivotButton="0" quotePrefix="0" xfId="0"/>
    <xf numFmtId="9" fontId="0" fillId="0" borderId="0" pivotButton="0" quotePrefix="0" xfId="0"/>
  </cellXfs>
  <cellStyles count="1">
    <cellStyle name="Normal" xfId="0"/>
  </cellStyles>
  <dxfs count="6">
    <dxf>
      <font>
        <b val="1"/>
        <color rgb="007F1D1D"/>
      </font>
      <fill>
        <patternFill patternType="solid">
          <bgColor rgb="00FCA5A5"/>
        </patternFill>
      </fill>
    </dxf>
    <dxf>
      <font>
        <b val="1"/>
        <color rgb="007C2D12"/>
      </font>
      <fill>
        <patternFill patternType="solid">
          <bgColor rgb="00FDBA74"/>
        </patternFill>
      </fill>
    </dxf>
    <dxf>
      <font>
        <b val="1"/>
        <color rgb="00713F12"/>
      </font>
      <fill>
        <patternFill patternType="solid">
          <bgColor rgb="00FEF3C7"/>
        </patternFill>
      </fill>
    </dxf>
    <dxf>
      <font>
        <color rgb="0014532D"/>
      </font>
      <fill>
        <patternFill patternType="solid">
          <bgColor rgb="00DCFCE7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月度能耗趋势</a:t>
            </a:r>
          </a:p>
        </rich>
      </tx>
      <overlay val="0"/>
    </title>
    <plotArea>
      <layout/>
      <lineChart>
        <grouping val="standard"/>
        <ser>
          <idx val="0"/>
          <order val="0"/>
          <tx>
            <v>Electricity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'Dashboard'!$A$12:$A$23</f>
              <strCache>
                <ptCount val="0"/>
              </strCache>
            </strRef>
          </cat>
          <val>
            <numRef>
              <f>'Dashboard'!$B$12:$B$23</f>
              <numCache>
                <formatCode>#,##0.0</formatCode>
                <ptCount val="0"/>
              </numCache>
            </numRef>
          </val>
          <smooth val="0"/>
        </ser>
        <ser>
          <idx val="1"/>
          <order val="1"/>
          <tx>
            <v>Water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'Dashboard'!$A$12:$A$23</f>
              <strCache>
                <ptCount val="0"/>
              </strCache>
            </strRef>
          </cat>
          <val>
            <numRef>
              <f>'Dashboard'!$C$12:$C$23</f>
              <numCache>
                <formatCode>#,##0.0</formatCode>
                <ptCount val="0"/>
              </numCache>
            </numRef>
          </val>
          <smooth val="0"/>
        </ser>
        <ser>
          <idx val="2"/>
          <order val="2"/>
          <tx>
            <v>Gas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'Dashboard'!$A$12:$A$23</f>
              <strCache>
                <ptCount val="0"/>
              </strCache>
            </strRef>
          </cat>
          <val>
            <numRef>
              <f>'Dashboard'!$D$12:$D$23</f>
              <numCache>
                <formatCode>#,##0.0</formatCode>
                <ptCount val="0"/>
              </numCache>
            </numRef>
          </val>
          <smooth val="0"/>
        </ser>
        <ser>
          <idx val="3"/>
          <order val="3"/>
          <tx>
            <v>Heat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'Dashboard'!$A$12:$A$23</f>
              <strCache>
                <ptCount val="0"/>
              </strCache>
            </strRef>
          </cat>
          <val>
            <numRef>
              <f>'Dashboard'!$E$12:$E$23</f>
              <numCache>
                <formatCode>#,##0.0</formatCode>
                <ptCount val="0"/>
              </numCache>
            </numRef>
          </val>
          <smooth val="0"/>
        </ser>
        <ser>
          <idx val="4"/>
          <order val="4"/>
          <tx>
            <v>Steam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'Dashboard'!$A$12:$A$23</f>
              <strCache>
                <ptCount val="0"/>
              </strCache>
            </strRef>
          </cat>
          <val>
            <numRef>
              <f>'Dashboard'!$F$12:$F$23</f>
              <numCache>
                <formatCode>#,##0.0</formatCode>
                <ptCount val="0"/>
              </numCache>
            </numRef>
          </val>
          <smooth val="0"/>
        </ser>
        <ser>
          <idx val="5"/>
          <order val="5"/>
          <tx>
            <v>Cooling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'Dashboard'!$A$12:$A$23</f>
              <strCache>
                <ptCount val="0"/>
              </strCache>
            </strRef>
          </cat>
          <val>
            <numRef>
              <f>'Dashboard'!$G$12:$G$23</f>
              <numCache>
                <formatCode>#,##0.0</formatCode>
                <ptCount val="0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axId val="48650112"/>
        <axId val="48672768"/>
      </line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Anomaly category分布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Count</v>
          </tx>
          <spPr>
            <a:ln xmlns:a="http://schemas.openxmlformats.org/drawingml/2006/main">
              <a:prstDash val="solid"/>
            </a:ln>
          </spPr>
          <cat>
            <strRef>
              <f>'Dashboard'!$I$12:$I$18</f>
              <strCache>
                <ptCount val="0"/>
              </strCache>
            </strRef>
          </cat>
          <val>
            <numRef>
              <f>'Dashboard'!$J$12:$J$18</f>
              <numCach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各Business scenarioAnomalies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Anomalies</v>
          </tx>
          <spPr>
            <a:ln xmlns:a="http://schemas.openxmlformats.org/drawingml/2006/main">
              <a:prstDash val="solid"/>
            </a:ln>
          </spPr>
          <cat>
            <strRef>
              <f>'Dashboard'!$L$12:$L$19</f>
              <strCache>
                <ptCount val="0"/>
              </strCache>
            </strRef>
          </cat>
          <val>
            <numRef>
              <f>'Dashboard'!$M$12:$M$19</f>
              <numCach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月度各能源用量趋势</a:t>
            </a:r>
          </a:p>
        </rich>
      </tx>
      <overlay val="0"/>
    </title>
    <plotArea>
      <layout/>
      <lineChart>
        <grouping val="standard"/>
        <ser>
          <idx val="0"/>
          <order val="0"/>
          <tx>
            <v>Electricity(kWh)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'Monthly Summary'!$A$5:$A$16</f>
              <strCache>
                <ptCount val="0"/>
              </strCache>
            </strRef>
          </cat>
          <val>
            <numRef>
              <f>'Monthly Summary'!$B$5:$B$16</f>
              <numCache>
                <formatCode>#,##0.00</formatCode>
                <ptCount val="0"/>
              </numCache>
            </numRef>
          </val>
          <smooth val="0"/>
        </ser>
        <ser>
          <idx val="1"/>
          <order val="1"/>
          <tx>
            <v>Water(m³)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'Monthly Summary'!$A$5:$A$16</f>
              <strCache>
                <ptCount val="0"/>
              </strCache>
            </strRef>
          </cat>
          <val>
            <numRef>
              <f>'Monthly Summary'!$C$5:$C$16</f>
              <numCache>
                <formatCode>#,##0.00</formatCode>
                <ptCount val="0"/>
              </numCache>
            </numRef>
          </val>
          <smooth val="0"/>
        </ser>
        <ser>
          <idx val="2"/>
          <order val="2"/>
          <tx>
            <v>Gas(m³)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'Monthly Summary'!$A$5:$A$16</f>
              <strCache>
                <ptCount val="0"/>
              </strCache>
            </strRef>
          </cat>
          <val>
            <numRef>
              <f>'Monthly Summary'!$D$5:$D$16</f>
              <numCache>
                <formatCode>#,##0.00</formatCode>
                <ptCount val="0"/>
              </numCache>
            </numRef>
          </val>
          <smooth val="0"/>
        </ser>
        <ser>
          <idx val="3"/>
          <order val="3"/>
          <tx>
            <v>Heat(GJ)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'Monthly Summary'!$A$5:$A$16</f>
              <strCache>
                <ptCount val="0"/>
              </strCache>
            </strRef>
          </cat>
          <val>
            <numRef>
              <f>'Monthly Summary'!$E$5:$E$16</f>
              <numCache>
                <formatCode>#,##0.00</formatCode>
                <ptCount val="0"/>
              </numCache>
            </numRef>
          </val>
          <smooth val="0"/>
        </ser>
        <ser>
          <idx val="4"/>
          <order val="4"/>
          <tx>
            <v>Steam(t)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'Monthly Summary'!$A$5:$A$16</f>
              <strCache>
                <ptCount val="0"/>
              </strCache>
            </strRef>
          </cat>
          <val>
            <numRef>
              <f>'Monthly Summary'!$F$5:$F$16</f>
              <numCache>
                <formatCode>#,##0.00</formatCode>
                <ptCount val="0"/>
              </numCache>
            </numRef>
          </val>
          <smooth val="0"/>
        </ser>
        <ser>
          <idx val="5"/>
          <order val="5"/>
          <tx>
            <v>Cooling(GJ)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'Monthly Summary'!$A$5:$A$16</f>
              <strCache>
                <ptCount val="0"/>
              </strCache>
            </strRef>
          </cat>
          <val>
            <numRef>
              <f>'Monthly Summary'!$G$5:$G$16</f>
              <numCache>
                <formatCode>#,##0.00</formatCode>
                <ptCount val="0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axId val="48650112"/>
        <axId val="48672768"/>
      </line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能源用量与费用结构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Usage summary</v>
          </tx>
          <spPr>
            <a:ln xmlns:a="http://schemas.openxmlformats.org/drawingml/2006/main">
              <a:prstDash val="solid"/>
            </a:ln>
          </spPr>
          <cat>
            <strRef>
              <f>'Monthly Summary'!$M$5:$M$11</f>
              <strCache>
                <ptCount val="0"/>
              </strCache>
            </strRef>
          </cat>
          <val>
            <numRef>
              <f>'Monthly Summary'!$N$5:$N$11</f>
              <numCache>
                <formatCode>#,##0.00</formatCode>
                <ptCount val="0"/>
              </numCache>
            </numRef>
          </val>
        </ser>
        <ser>
          <idx val="1"/>
          <order val="1"/>
          <tx>
            <v>Cost summary</v>
          </tx>
          <spPr>
            <a:ln xmlns:a="http://schemas.openxmlformats.org/drawingml/2006/main">
              <a:prstDash val="solid"/>
            </a:ln>
          </spPr>
          <cat>
            <strRef>
              <f>'Monthly Summary'!$M$5:$M$11</f>
              <strCache>
                <ptCount val="0"/>
              </strCache>
            </strRef>
          </cat>
          <val>
            <numRef>
              <f>'Monthly Summary'!$O$5:$O$11</f>
              <numCache>
                <formatCode>¥#,##0.00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_rels/drawing2.xml.rels><Relationships xmlns="http://schemas.openxmlformats.org/package/2006/relationships"><Relationship Type="http://schemas.openxmlformats.org/officeDocument/2006/relationships/chart" Target="/xl/charts/chart4.xml" Id="rId1"/><Relationship Type="http://schemas.openxmlformats.org/officeDocument/2006/relationships/chart" Target="/xl/charts/chart5.xml" Id="rId2"/></Relationships>
</file>

<file path=xl/drawings/drawing1.xml><?xml version="1.0" encoding="utf-8"?>
<wsDr xmlns="http://schemas.openxmlformats.org/drawingml/2006/spreadsheetDrawing">
  <twoCellAnchor>
    <from>
      <col>0</col>
      <colOff>0</colOff>
      <row>25</row>
      <rowOff>0</rowOff>
    </from>
    <to>
      <col>7</col>
      <colOff>0</colOff>
      <row>43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8</col>
      <colOff>0</colOff>
      <row>25</row>
      <rowOff>0</rowOff>
    </from>
    <to>
      <col>13</col>
      <colOff>0</colOff>
      <row>43</row>
      <rowOff>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>
    <from>
      <col>0</col>
      <colOff>0</colOff>
      <row>44</row>
      <rowOff>0</rowOff>
    </from>
    <to>
      <col>7</col>
      <colOff>0</colOff>
      <row>62</row>
      <rowOff>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</wsDr>
</file>

<file path=xl/drawings/drawing2.xml><?xml version="1.0" encoding="utf-8"?>
<wsDr xmlns="http://schemas.openxmlformats.org/drawingml/2006/spreadsheetDrawing">
  <twoCellAnchor>
    <from>
      <col>0</col>
      <colOff>0</colOff>
      <row>18</row>
      <rowOff>0</rowOff>
    </from>
    <to>
      <col>11</col>
      <colOff>0</colOff>
      <row>36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12</col>
      <colOff>0</colOff>
      <row>12</row>
      <rowOff>0</rowOff>
    </from>
    <to>
      <col>20</col>
      <colOff>0</colOff>
      <row>31</row>
      <rowOff>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</wsDr>
</file>

<file path=xl/tables/table1.xml><?xml version="1.0" encoding="utf-8"?>
<table xmlns="http://schemas.openxmlformats.org/spreadsheetml/2006/main" id="1" name="UtilityData" displayName="UtilityData" ref="A5:Y205" headerRowCount="1">
  <tableColumns count="25">
    <tableColumn id="1" name="Record ID"/>
    <tableColumn id="2" name="Date"/>
    <tableColumn id="3" name="Company"/>
    <tableColumn id="4" name="Business scenario"/>
    <tableColumn id="5" name="Area / site"/>
    <tableColumn id="6" name="Building / floor"/>
    <tableColumn id="7" name="Department / tenant / line"/>
    <tableColumn id="8" name="Equipment / metering point"/>
    <tableColumn id="9" name="Meter ID"/>
    <tableColumn id="10" name="Energy type"/>
    <tableColumn id="11" name="Unit"/>
    <tableColumn id="12" name="Current reading"/>
    <tableColumn id="13" name="Previous reading"/>
    <tableColumn id="14" name="Current usage"/>
    <tableColumn id="15" name="Unit price"/>
    <tableColumn id="16" name="Amount"/>
    <tableColumn id="17" name="Time band / shift"/>
    <tableColumn id="18" name="Occupancy"/>
    <tableColumn id="19" name="Area m2"/>
    <tableColumn id="20" name="Output / business volume"/>
    <tableColumn id="21" name="Carbon kgCO2e"/>
    <tableColumn id="22" name="Energy per area"/>
    <tableColumn id="23" name="Energy per business volume"/>
    <tableColumn id="24" name="Data source"/>
    <tableColumn id="25" name="Notes"/>
  </tableColumns>
  <tableStyleInfo name="TableStyleMedium2" showRowStripes="1"/>
</table>
</file>

<file path=xl/tables/table2.xml><?xml version="1.0" encoding="utf-8"?>
<table xmlns="http://schemas.openxmlformats.org/spreadsheetml/2006/main" id="2" name="AnomalyDetection" displayName="AnomalyDetection" ref="A5:X205" headerRowCount="1">
  <tableColumns count="24">
    <tableColumn id="1" name="Anomaly ID"/>
    <tableColumn id="2" name="Detection date"/>
    <tableColumn id="3" name="Company"/>
    <tableColumn id="4" name="Business scenario"/>
    <tableColumn id="5" name="Area / site"/>
    <tableColumn id="6" name="Department / object"/>
    <tableColumn id="7" name="Equipment / metering point"/>
    <tableColumn id="8" name="Energy type"/>
    <tableColumn id="9" name="Current usage"/>
    <tableColumn id="10" name="7-day baseline"/>
    <tableColumn id="11" name="Deviation rate"/>
    <tableColumn id="12" name="Energy per area"/>
    <tableColumn id="13" name="Alert threshold"/>
    <tableColumn id="14" name="Anomaly category"/>
    <tableColumn id="15" name="Risk level"/>
    <tableColumn id="16" name="Financial impact"/>
    <tableColumn id="17" name="Recommended action"/>
    <tableColumn id="18" name="Responsible role"/>
    <tableColumn id="19" name="Status"/>
    <tableColumn id="20" name="Planned completion date"/>
    <tableColumn id="21" name="Overdue?"/>
    <tableColumn id="22" name="Work order No."/>
    <tableColumn id="23" name="Close date"/>
    <tableColumn id="24" name="Notes"/>
  </tableColumns>
  <tableStyleInfo name="TableStyleMedium2" showRowStripes="1"/>
</table>
</file>

<file path=xl/tables/table3.xml><?xml version="1.0" encoding="utf-8"?>
<table xmlns="http://schemas.openxmlformats.org/spreadsheetml/2006/main" id="3" name="WorkOrderClosure" displayName="WorkOrderClosure" ref="A5:T105" headerRowCount="1">
  <tableColumns count="20">
    <tableColumn id="1" name="Work order ID"/>
    <tableColumn id="2" name="Anomaly ID"/>
    <tableColumn id="3" name="Discovery date"/>
    <tableColumn id="4" name="Company"/>
    <tableColumn id="5" name="Business scenario"/>
    <tableColumn id="6" name="Area / site"/>
    <tableColumn id="7" name="Equipment / metering point"/>
    <tableColumn id="8" name="Energy type"/>
    <tableColumn id="9" name="Anomaly category"/>
    <tableColumn id="10" name="Risk level"/>
    <tableColumn id="11" name="Owner"/>
    <tableColumn id="12" name="Status"/>
    <tableColumn id="13" name="Planned completion date"/>
    <tableColumn id="14" name="Actual completion date"/>
    <tableColumn id="15" name="Overdue?"/>
    <tableColumn id="16" name="Root cause category"/>
    <tableColumn id="17" name="Corrective action"/>
    <tableColumn id="18" name="Estimated / actual savings quantity"/>
    <tableColumn id="19" name="Savings amount"/>
    <tableColumn id="20" name="Review conclusion"/>
  </tableColumns>
  <tableStyleInfo name="TableStyleMedium2" showRowStripes="1"/>
</table>
</file>

<file path=xl/tables/table4.xml><?xml version="1.0" encoding="utf-8"?>
<table xmlns="http://schemas.openxmlformats.org/spreadsheetml/2006/main" id="4" name="MonthlySummary" displayName="MonthlySummary" ref="A4:K16" headerRowCount="1">
  <tableColumns count="11">
    <tableColumn id="1" name="Month"/>
    <tableColumn id="2" name="Electricity(kWh)"/>
    <tableColumn id="3" name="Water(m³)"/>
    <tableColumn id="4" name="Gas(m³)"/>
    <tableColumn id="5" name="Heat(GJ)"/>
    <tableColumn id="6" name="Steam(t)"/>
    <tableColumn id="7" name="Cooling(GJ)"/>
    <tableColumn id="8" name="Total cost"/>
    <tableColumn id="9" name="Anomalies"/>
    <tableColumn id="10" name="High / severe anomalies"/>
    <tableColumn id="11" name="Carbon kgCO2e"/>
  </tableColumns>
  <tableStyleInfo name="TableStyleMedium2" showRowStripes="1"/>
</table>
</file>

<file path=xl/tables/table5.xml><?xml version="1.0" encoding="utf-8"?>
<table xmlns="http://schemas.openxmlformats.org/spreadsheetml/2006/main" id="5" name="AnomalyRuleLibrary" displayName="AnomalyRuleLibrary" ref="A4:M14" headerRowCount="1">
  <tableColumns count="13">
    <tableColumn id="1" name="Rule ID"/>
    <tableColumn id="2" name="Enabled"/>
    <tableColumn id="3" name="Business scenario"/>
    <tableColumn id="4" name="Energy type"/>
    <tableColumn id="5" name="Anomaly type"/>
    <tableColumn id="6" name="Metric / checkpoint"/>
    <tableColumn id="7" name="Alert threshold"/>
    <tableColumn id="8" name="Severe threshold"/>
    <tableColumn id="9" name="Calculation basis"/>
    <tableColumn id="10" name="Applicable objects"/>
    <tableColumn id="11" name="Recommended action"/>
    <tableColumn id="12" name="SLA hours"/>
    <tableColumn id="13" name="Responsible role"/>
  </tableColumns>
  <tableStyleInfo name="TableStyleMedium2" showRowStripes="1"/>
</table>
</file>

<file path=xl/tables/table6.xml><?xml version="1.0" encoding="utf-8"?>
<table xmlns="http://schemas.openxmlformats.org/spreadsheetml/2006/main" id="6" name="ScenarioLibrary" displayName="ScenarioLibrary" ref="A3:F11" headerRowCount="1">
  <tableColumns count="6">
    <tableColumn id="1" name="Business scenario"/>
    <tableColumn id="2" name="Main objects"/>
    <tableColumn id="3" name="Key metrics"/>
    <tableColumn id="4" name="Common anomalies"/>
    <tableColumn id="5" name="Alert action"/>
    <tableColumn id="6" name="Management focus"/>
  </tableColumns>
  <tableStyleInfo name="TableStyleMedium2" showRowStripes="1"/>
</table>
</file>

<file path=xl/tables/table7.xml><?xml version="1.0" encoding="utf-8"?>
<table xmlns="http://schemas.openxmlformats.org/spreadsheetml/2006/main" id="7" name="EnergySettings" displayName="EnergySettings" ref="A12:K19" headerRowCount="1">
  <tableColumns count="11">
    <tableColumn id="1" name="Energy type"/>
    <tableColumn id="2" name="Default unit"/>
    <tableColumn id="3" name="Default unit price"/>
    <tableColumn id="4" name="Carbon factor kgCO2e / unit"/>
    <tableColumn id="5" name="Alert deviation %"/>
    <tableColumn id="6" name="Severe deviation %"/>
    <tableColumn id="7" name="Drop deviation %"/>
    <tableColumn id="8" name="Area intensity threshold"/>
    <tableColumn id="9" name="Business volume threshold"/>
    <tableColumn id="10" name="Low-load / night threshold"/>
    <tableColumn id="11" name="Default role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2.xml" Id="rId1"/><Relationship Type="http://schemas.openxmlformats.org/officeDocument/2006/relationships/table" Target="/xl/tables/table4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8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3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30" customWidth="1" min="3" max="3"/>
    <col width="4" customWidth="1" min="4" max="4"/>
    <col width="14" customWidth="1" min="5" max="5"/>
    <col width="14" customWidth="1" min="6" max="6"/>
    <col width="14" customWidth="1" min="7" max="7"/>
    <col width="14" customWidth="1" min="8" max="8"/>
    <col width="18" customWidth="1" min="9" max="9"/>
    <col width="14" customWidth="1" min="10" max="10"/>
    <col width="4" customWidth="1" min="11" max="11"/>
    <col width="24" customWidth="1" min="12" max="12"/>
    <col width="12" customWidth="1" min="13" max="13"/>
  </cols>
  <sheetData>
    <row r="1" ht="34" customHeight="1">
      <c r="A1" s="61" t="inlineStr">
        <is>
          <t>Utility Consumption Anomaly Alert - Dashboard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24" customHeight="1"/>
    <row r="3" ht="24" customHeight="1">
      <c r="A3" s="44" t="inlineStr">
        <is>
          <t>Filters</t>
        </is>
      </c>
      <c r="B3" s="44" t="inlineStr">
        <is>
          <t>Current value</t>
        </is>
      </c>
      <c r="C3" s="44" t="inlineStr">
        <is>
          <t>Description</t>
        </is>
      </c>
      <c r="E3" s="30" t="inlineStr">
        <is>
          <t>Total usage</t>
        </is>
      </c>
      <c r="F3" s="30" t="inlineStr">
        <is>
          <t>Total cost</t>
        </is>
      </c>
      <c r="G3" s="30" t="inlineStr">
        <is>
          <t>Anomaly count</t>
        </is>
      </c>
      <c r="H3" s="30" t="inlineStr">
        <is>
          <t>High / severe anomalies</t>
        </is>
      </c>
      <c r="I3" s="30" t="inlineStr">
        <is>
          <t>Open anomalies</t>
        </is>
      </c>
      <c r="J3" s="30" t="inlineStr">
        <is>
          <t>Carbon kgCO2e</t>
        </is>
      </c>
    </row>
    <row r="4" ht="34" customHeight="1">
      <c r="A4" s="19" t="inlineStr">
        <is>
          <t>Company</t>
        </is>
      </c>
      <c r="B4" s="22" t="inlineStr">
        <is>
          <t>All</t>
        </is>
      </c>
      <c r="C4" t="inlineStr">
        <is>
          <t>选择Company或填“All”</t>
        </is>
      </c>
      <c r="E4" s="132">
        <f>SUMPRODUCT((('Energy Data Input'!$B$6:$B$205&gt;=$B$5)*('Energy Data Input'!$B$6:$B$205&lt;=$B$6)*((($B$4="All")+('Energy Data Input'!$C$6:$C$205=$B$4))&gt;0)*((($B$7="All")+('Energy Data Input'!$D$6:$D$205=$B$7))&gt;0)*((($B$8="All")+('Energy Data Input'!$J$6:$J$205=$B$8))&gt;0))*'Energy Data Input'!$N$6:$N$205)</f>
        <v/>
      </c>
      <c r="F4" s="133">
        <f>SUMPRODUCT((('Energy Data Input'!$B$6:$B$205&gt;=$B$5)*('Energy Data Input'!$B$6:$B$205&lt;=$B$6)*((($B$4="All")+('Energy Data Input'!$C$6:$C$205=$B$4))&gt;0)*((($B$7="All")+('Energy Data Input'!$D$6:$D$205=$B$7))&gt;0)*((($B$8="All")+('Energy Data Input'!$J$6:$J$205=$B$8))&gt;0))*'Energy Data Input'!$P$6:$P$205)</f>
        <v/>
      </c>
      <c r="G4" s="134">
        <f>SUMPRODUCT((('Anomaly Detection'!$B$6:$B$205&gt;=$B$5)*('Anomaly Detection'!$B$6:$B$205&lt;=$B$6)*((($B$4="All")+('Anomaly Detection'!$C$6:$C$205=$B$4))&gt;0)*((($B$7="All")+('Anomaly Detection'!$D$6:$D$205=$B$7))&gt;0)*((($B$8="All")+('Anomaly Detection'!$H$6:$H$205=$B$8))&gt;0))*('Anomaly Detection'!$N$6:$N$205&lt;&gt;"Normal")*('Anomaly Detection'!$N$6:$N$205&lt;&gt;""))</f>
        <v/>
      </c>
      <c r="H4" s="134">
        <f>SUMPRODUCT((('Anomaly Detection'!$B$6:$B$205&gt;=$B$5)*('Anomaly Detection'!$B$6:$B$205&lt;=$B$6)*((($B$4="All")+('Anomaly Detection'!$C$6:$C$205=$B$4))&gt;0)*((($B$7="All")+('Anomaly Detection'!$D$6:$D$205=$B$7))&gt;0)*((($B$8="All")+('Anomaly Detection'!$H$6:$H$205=$B$8))&gt;0))*(('Anomaly Detection'!$O$6:$O$205="High")+('Anomaly Detection'!$O$6:$O$205="Severe")))</f>
        <v/>
      </c>
      <c r="I4" s="134">
        <f>SUMPRODUCT((('Anomaly Detection'!$B$6:$B$205&gt;=$B$5)*('Anomaly Detection'!$B$6:$B$205&lt;=$B$6)*((($B$4="All")+('Anomaly Detection'!$C$6:$C$205=$B$4))&gt;0)*((($B$7="All")+('Anomaly Detection'!$D$6:$D$205=$B$7))&gt;0)*((($B$8="All")+('Anomaly Detection'!$H$6:$H$205=$B$8))&gt;0))*('Anomaly Detection'!$N$6:$N$205&lt;&gt;"Normal")*('Anomaly Detection'!$N$6:$N$205&lt;&gt;"")*('Anomaly Detection'!$S$6:$S$205&lt;&gt;"Closed")*('Anomaly Detection'!$S$6:$S$205&lt;&gt;"No action needed"))</f>
        <v/>
      </c>
      <c r="J4" s="132">
        <f>SUMPRODUCT((('Energy Data Input'!$B$6:$B$205&gt;=$B$5)*('Energy Data Input'!$B$6:$B$205&lt;=$B$6)*((($B$4="All")+('Energy Data Input'!$C$6:$C$205=$B$4))&gt;0)*((($B$7="All")+('Energy Data Input'!$D$6:$D$205=$B$7))&gt;0)*((($B$8="All")+('Energy Data Input'!$J$6:$J$205=$B$8))&gt;0))*'Energy Data Input'!$U$6:$U$205)</f>
        <v/>
      </c>
    </row>
    <row r="5">
      <c r="A5" s="19" t="inlineStr">
        <is>
          <t>Start date</t>
        </is>
      </c>
      <c r="B5" s="135" t="n">
        <v>46113</v>
      </c>
      <c r="C5" t="inlineStr">
        <is>
          <t>统计起始日</t>
        </is>
      </c>
    </row>
    <row r="6" ht="26" customHeight="1">
      <c r="A6" s="19" t="inlineStr">
        <is>
          <t>End date</t>
        </is>
      </c>
      <c r="B6" s="135" t="n">
        <v>46142</v>
      </c>
      <c r="C6" t="inlineStr">
        <is>
          <t>统计结束日</t>
        </is>
      </c>
      <c r="E6" s="131" t="inlineStr">
        <is>
          <t>Dashboard notes</t>
        </is>
      </c>
      <c r="F6" s="17" t="inlineStr">
        <is>
          <t>Anomaly count基于《Anomaly Detection》；High / severe anomaliesRecommendation优先闭环；Total cost和碳排来自录入数据的Unit price与碳因子。</t>
        </is>
      </c>
      <c r="G6" s="1" t="n"/>
      <c r="H6" s="1" t="n"/>
      <c r="I6" s="1" t="n"/>
      <c r="J6" s="1" t="n"/>
    </row>
    <row r="7" ht="26" customHeight="1">
      <c r="A7" s="19" t="inlineStr">
        <is>
          <t>Business scenario</t>
        </is>
      </c>
      <c r="B7" s="22" t="inlineStr">
        <is>
          <t>All</t>
        </is>
      </c>
      <c r="C7" t="inlineStr">
        <is>
          <t>按场景过滤</t>
        </is>
      </c>
      <c r="E7" s="131" t="inlineStr">
        <is>
          <t>Quick tip</t>
        </is>
      </c>
      <c r="F7" s="17" t="inlineStr">
        <is>
          <t>先维护《Base Settings》，再粘贴《Energy Data Input》，最后查看本页和《Closed-loop Actions》。</t>
        </is>
      </c>
      <c r="G7" s="1" t="n"/>
      <c r="H7" s="1" t="n"/>
      <c r="I7" s="1" t="n"/>
      <c r="J7" s="1" t="n"/>
    </row>
    <row r="8" ht="26" customHeight="1">
      <c r="A8" s="19" t="inlineStr">
        <is>
          <t>Energy type</t>
        </is>
      </c>
      <c r="B8" s="22" t="inlineStr">
        <is>
          <t>All</t>
        </is>
      </c>
      <c r="C8" t="inlineStr">
        <is>
          <t>按Energy type过滤</t>
        </is>
      </c>
      <c r="E8" s="131" t="inlineStr">
        <is>
          <t>Scope</t>
        </is>
      </c>
      <c r="F8" s="17" t="inlineStr">
        <is>
          <t>办公楼、商业综合体、工厂、School / hospital、酒店公寓、数据Medium心、市政供Water、集团多Company。</t>
        </is>
      </c>
      <c r="G8" s="1" t="n"/>
      <c r="H8" s="1" t="n"/>
      <c r="I8" s="1" t="n"/>
      <c r="J8" s="1" t="n"/>
    </row>
    <row r="11">
      <c r="A11" s="30" t="inlineStr">
        <is>
          <t>Month</t>
        </is>
      </c>
      <c r="B11" s="30" t="inlineStr">
        <is>
          <t>Electricity</t>
        </is>
      </c>
      <c r="C11" s="30" t="inlineStr">
        <is>
          <t>Water</t>
        </is>
      </c>
      <c r="D11" s="30" t="inlineStr">
        <is>
          <t>Gas</t>
        </is>
      </c>
      <c r="E11" s="30" t="inlineStr">
        <is>
          <t>Heat</t>
        </is>
      </c>
      <c r="F11" s="30" t="inlineStr">
        <is>
          <t>Steam</t>
        </is>
      </c>
      <c r="G11" s="30" t="inlineStr">
        <is>
          <t>Cooling</t>
        </is>
      </c>
      <c r="I11" s="94" t="inlineStr">
        <is>
          <t>Anomaly category</t>
        </is>
      </c>
      <c r="J11" s="94" t="inlineStr">
        <is>
          <t>Count</t>
        </is>
      </c>
      <c r="L11" s="44" t="inlineStr">
        <is>
          <t>Business scenario</t>
        </is>
      </c>
      <c r="M11" s="44" t="inlineStr">
        <is>
          <t>Anomalies</t>
        </is>
      </c>
    </row>
    <row r="12">
      <c r="A12" s="136" t="n">
        <v>46023</v>
      </c>
      <c r="B12" s="137">
        <f>SUMIFS('Energy Data Input'!$N$6:$N$205,'Energy Data Input'!$B$6:$B$205,"&gt;="&amp;$A12,'Energy Data Input'!$B$6:$B$205,"&lt;"&amp;EDATE($A12,1),'Energy Data Input'!$J$6:$J$205,"Electricity")</f>
        <v/>
      </c>
      <c r="C12" s="137">
        <f>SUMIFS('Energy Data Input'!$N$6:$N$205,'Energy Data Input'!$B$6:$B$205,"&gt;="&amp;$A12,'Energy Data Input'!$B$6:$B$205,"&lt;"&amp;EDATE($A12,1),'Energy Data Input'!$J$6:$J$205,"Water")</f>
        <v/>
      </c>
      <c r="D12" s="137">
        <f>SUMIFS('Energy Data Input'!$N$6:$N$205,'Energy Data Input'!$B$6:$B$205,"&gt;="&amp;$A12,'Energy Data Input'!$B$6:$B$205,"&lt;"&amp;EDATE($A12,1),'Energy Data Input'!$J$6:$J$205,"Gas")</f>
        <v/>
      </c>
      <c r="E12" s="137">
        <f>SUMIFS('Energy Data Input'!$N$6:$N$205,'Energy Data Input'!$B$6:$B$205,"&gt;="&amp;$A12,'Energy Data Input'!$B$6:$B$205,"&lt;"&amp;EDATE($A12,1),'Energy Data Input'!$J$6:$J$205,"Heat")</f>
        <v/>
      </c>
      <c r="F12" s="137">
        <f>SUMIFS('Energy Data Input'!$N$6:$N$205,'Energy Data Input'!$B$6:$B$205,"&gt;="&amp;$A12,'Energy Data Input'!$B$6:$B$205,"&lt;"&amp;EDATE($A12,1),'Energy Data Input'!$J$6:$J$205,"Steam")</f>
        <v/>
      </c>
      <c r="G12" s="137">
        <f>SUMIFS('Energy Data Input'!$N$6:$N$205,'Energy Data Input'!$B$6:$B$205,"&gt;="&amp;$A12,'Energy Data Input'!$B$6:$B$205,"&lt;"&amp;EDATE($A12,1),'Energy Data Input'!$J$6:$J$205,"Cooling")</f>
        <v/>
      </c>
      <c r="I12" t="inlineStr">
        <is>
          <t>Normal</t>
        </is>
      </c>
      <c r="J12">
        <f>COUNTIFS('Anomaly Detection'!$N$6:$N$205,$I12)</f>
        <v/>
      </c>
      <c r="L12" t="inlineStr">
        <is>
          <t>Office building / headquarters campus</t>
        </is>
      </c>
      <c r="M12">
        <f>COUNTIFS('Anomaly Detection'!$D$6:$D$205,$L12,'Anomaly Detection'!$N$6:$N$205,"&lt;&gt;Normal",'Anomaly Detection'!$N$6:$N$205,"&lt;&gt;")</f>
        <v/>
      </c>
    </row>
    <row r="13">
      <c r="A13" s="136" t="n">
        <v>46054</v>
      </c>
      <c r="B13" s="137">
        <f>SUMIFS('Energy Data Input'!$N$6:$N$205,'Energy Data Input'!$B$6:$B$205,"&gt;="&amp;$A13,'Energy Data Input'!$B$6:$B$205,"&lt;"&amp;EDATE($A13,1),'Energy Data Input'!$J$6:$J$205,"Electricity")</f>
        <v/>
      </c>
      <c r="C13" s="137">
        <f>SUMIFS('Energy Data Input'!$N$6:$N$205,'Energy Data Input'!$B$6:$B$205,"&gt;="&amp;$A13,'Energy Data Input'!$B$6:$B$205,"&lt;"&amp;EDATE($A13,1),'Energy Data Input'!$J$6:$J$205,"Water")</f>
        <v/>
      </c>
      <c r="D13" s="137">
        <f>SUMIFS('Energy Data Input'!$N$6:$N$205,'Energy Data Input'!$B$6:$B$205,"&gt;="&amp;$A13,'Energy Data Input'!$B$6:$B$205,"&lt;"&amp;EDATE($A13,1),'Energy Data Input'!$J$6:$J$205,"Gas")</f>
        <v/>
      </c>
      <c r="E13" s="137">
        <f>SUMIFS('Energy Data Input'!$N$6:$N$205,'Energy Data Input'!$B$6:$B$205,"&gt;="&amp;$A13,'Energy Data Input'!$B$6:$B$205,"&lt;"&amp;EDATE($A13,1),'Energy Data Input'!$J$6:$J$205,"Heat")</f>
        <v/>
      </c>
      <c r="F13" s="137">
        <f>SUMIFS('Energy Data Input'!$N$6:$N$205,'Energy Data Input'!$B$6:$B$205,"&gt;="&amp;$A13,'Energy Data Input'!$B$6:$B$205,"&lt;"&amp;EDATE($A13,1),'Energy Data Input'!$J$6:$J$205,"Steam")</f>
        <v/>
      </c>
      <c r="G13" s="137">
        <f>SUMIFS('Energy Data Input'!$N$6:$N$205,'Energy Data Input'!$B$6:$B$205,"&gt;="&amp;$A13,'Energy Data Input'!$B$6:$B$205,"&lt;"&amp;EDATE($A13,1),'Energy Data Input'!$J$6:$J$205,"Cooling")</f>
        <v/>
      </c>
      <c r="I13" t="inlineStr">
        <is>
          <t>Usage spike</t>
        </is>
      </c>
      <c r="J13">
        <f>COUNTIFS('Anomaly Detection'!$N$6:$N$205,$I13)</f>
        <v/>
      </c>
      <c r="L13" t="inlineStr">
        <is>
          <t>Commercial complex / office building</t>
        </is>
      </c>
      <c r="M13">
        <f>COUNTIFS('Anomaly Detection'!$D$6:$D$205,$L13,'Anomaly Detection'!$N$6:$N$205,"&lt;&gt;Normal",'Anomaly Detection'!$N$6:$N$205,"&lt;&gt;")</f>
        <v/>
      </c>
    </row>
    <row r="14">
      <c r="A14" s="136" t="n">
        <v>46082</v>
      </c>
      <c r="B14" s="137">
        <f>SUMIFS('Energy Data Input'!$N$6:$N$205,'Energy Data Input'!$B$6:$B$205,"&gt;="&amp;$A14,'Energy Data Input'!$B$6:$B$205,"&lt;"&amp;EDATE($A14,1),'Energy Data Input'!$J$6:$J$205,"Electricity")</f>
        <v/>
      </c>
      <c r="C14" s="137">
        <f>SUMIFS('Energy Data Input'!$N$6:$N$205,'Energy Data Input'!$B$6:$B$205,"&gt;="&amp;$A14,'Energy Data Input'!$B$6:$B$205,"&lt;"&amp;EDATE($A14,1),'Energy Data Input'!$J$6:$J$205,"Water")</f>
        <v/>
      </c>
      <c r="D14" s="137">
        <f>SUMIFS('Energy Data Input'!$N$6:$N$205,'Energy Data Input'!$B$6:$B$205,"&gt;="&amp;$A14,'Energy Data Input'!$B$6:$B$205,"&lt;"&amp;EDATE($A14,1),'Energy Data Input'!$J$6:$J$205,"Gas")</f>
        <v/>
      </c>
      <c r="E14" s="137">
        <f>SUMIFS('Energy Data Input'!$N$6:$N$205,'Energy Data Input'!$B$6:$B$205,"&gt;="&amp;$A14,'Energy Data Input'!$B$6:$B$205,"&lt;"&amp;EDATE($A14,1),'Energy Data Input'!$J$6:$J$205,"Heat")</f>
        <v/>
      </c>
      <c r="F14" s="137">
        <f>SUMIFS('Energy Data Input'!$N$6:$N$205,'Energy Data Input'!$B$6:$B$205,"&gt;="&amp;$A14,'Energy Data Input'!$B$6:$B$205,"&lt;"&amp;EDATE($A14,1),'Energy Data Input'!$J$6:$J$205,"Steam")</f>
        <v/>
      </c>
      <c r="G14" s="137">
        <f>SUMIFS('Energy Data Input'!$N$6:$N$205,'Energy Data Input'!$B$6:$B$205,"&gt;="&amp;$A14,'Energy Data Input'!$B$6:$B$205,"&lt;"&amp;EDATE($A14,1),'Energy Data Input'!$J$6:$J$205,"Cooling")</f>
        <v/>
      </c>
      <c r="I14" t="inlineStr">
        <is>
          <t>Severe spike</t>
        </is>
      </c>
      <c r="J14">
        <f>COUNTIFS('Anomaly Detection'!$N$6:$N$205,$I14)</f>
        <v/>
      </c>
      <c r="L14" t="inlineStr">
        <is>
          <t>Industrial park / factory</t>
        </is>
      </c>
      <c r="M14">
        <f>COUNTIFS('Anomaly Detection'!$D$6:$D$205,$L14,'Anomaly Detection'!$N$6:$N$205,"&lt;&gt;Normal",'Anomaly Detection'!$N$6:$N$205,"&lt;&gt;")</f>
        <v/>
      </c>
    </row>
    <row r="15">
      <c r="A15" s="136" t="n">
        <v>46113</v>
      </c>
      <c r="B15" s="137">
        <f>SUMIFS('Energy Data Input'!$N$6:$N$205,'Energy Data Input'!$B$6:$B$205,"&gt;="&amp;$A15,'Energy Data Input'!$B$6:$B$205,"&lt;"&amp;EDATE($A15,1),'Energy Data Input'!$J$6:$J$205,"Electricity")</f>
        <v/>
      </c>
      <c r="C15" s="137">
        <f>SUMIFS('Energy Data Input'!$N$6:$N$205,'Energy Data Input'!$B$6:$B$205,"&gt;="&amp;$A15,'Energy Data Input'!$B$6:$B$205,"&lt;"&amp;EDATE($A15,1),'Energy Data Input'!$J$6:$J$205,"Water")</f>
        <v/>
      </c>
      <c r="D15" s="137">
        <f>SUMIFS('Energy Data Input'!$N$6:$N$205,'Energy Data Input'!$B$6:$B$205,"&gt;="&amp;$A15,'Energy Data Input'!$B$6:$B$205,"&lt;"&amp;EDATE($A15,1),'Energy Data Input'!$J$6:$J$205,"Gas")</f>
        <v/>
      </c>
      <c r="E15" s="137">
        <f>SUMIFS('Energy Data Input'!$N$6:$N$205,'Energy Data Input'!$B$6:$B$205,"&gt;="&amp;$A15,'Energy Data Input'!$B$6:$B$205,"&lt;"&amp;EDATE($A15,1),'Energy Data Input'!$J$6:$J$205,"Heat")</f>
        <v/>
      </c>
      <c r="F15" s="137">
        <f>SUMIFS('Energy Data Input'!$N$6:$N$205,'Energy Data Input'!$B$6:$B$205,"&gt;="&amp;$A15,'Energy Data Input'!$B$6:$B$205,"&lt;"&amp;EDATE($A15,1),'Energy Data Input'!$J$6:$J$205,"Steam")</f>
        <v/>
      </c>
      <c r="G15" s="137">
        <f>SUMIFS('Energy Data Input'!$N$6:$N$205,'Energy Data Input'!$B$6:$B$205,"&gt;="&amp;$A15,'Energy Data Input'!$B$6:$B$205,"&lt;"&amp;EDATE($A15,1),'Energy Data Input'!$J$6:$J$205,"Cooling")</f>
        <v/>
      </c>
      <c r="I15" t="inlineStr">
        <is>
          <t>Usage drop</t>
        </is>
      </c>
      <c r="J15">
        <f>COUNTIFS('Anomaly Detection'!$N$6:$N$205,$I15)</f>
        <v/>
      </c>
      <c r="L15" t="inlineStr">
        <is>
          <t>School / hospital</t>
        </is>
      </c>
      <c r="M15">
        <f>COUNTIFS('Anomaly Detection'!$D$6:$D$205,$L15,'Anomaly Detection'!$N$6:$N$205,"&lt;&gt;Normal",'Anomaly Detection'!$N$6:$N$205,"&lt;&gt;")</f>
        <v/>
      </c>
    </row>
    <row r="16">
      <c r="A16" s="136" t="n">
        <v>46143</v>
      </c>
      <c r="B16" s="137">
        <f>SUMIFS('Energy Data Input'!$N$6:$N$205,'Energy Data Input'!$B$6:$B$205,"&gt;="&amp;$A16,'Energy Data Input'!$B$6:$B$205,"&lt;"&amp;EDATE($A16,1),'Energy Data Input'!$J$6:$J$205,"Electricity")</f>
        <v/>
      </c>
      <c r="C16" s="137">
        <f>SUMIFS('Energy Data Input'!$N$6:$N$205,'Energy Data Input'!$B$6:$B$205,"&gt;="&amp;$A16,'Energy Data Input'!$B$6:$B$205,"&lt;"&amp;EDATE($A16,1),'Energy Data Input'!$J$6:$J$205,"Water")</f>
        <v/>
      </c>
      <c r="D16" s="137">
        <f>SUMIFS('Energy Data Input'!$N$6:$N$205,'Energy Data Input'!$B$6:$B$205,"&gt;="&amp;$A16,'Energy Data Input'!$B$6:$B$205,"&lt;"&amp;EDATE($A16,1),'Energy Data Input'!$J$6:$J$205,"Gas")</f>
        <v/>
      </c>
      <c r="E16" s="137">
        <f>SUMIFS('Energy Data Input'!$N$6:$N$205,'Energy Data Input'!$B$6:$B$205,"&gt;="&amp;$A16,'Energy Data Input'!$B$6:$B$205,"&lt;"&amp;EDATE($A16,1),'Energy Data Input'!$J$6:$J$205,"Heat")</f>
        <v/>
      </c>
      <c r="F16" s="137">
        <f>SUMIFS('Energy Data Input'!$N$6:$N$205,'Energy Data Input'!$B$6:$B$205,"&gt;="&amp;$A16,'Energy Data Input'!$B$6:$B$205,"&lt;"&amp;EDATE($A16,1),'Energy Data Input'!$J$6:$J$205,"Steam")</f>
        <v/>
      </c>
      <c r="G16" s="137">
        <f>SUMIFS('Energy Data Input'!$N$6:$N$205,'Energy Data Input'!$B$6:$B$205,"&gt;="&amp;$A16,'Energy Data Input'!$B$6:$B$205,"&lt;"&amp;EDATE($A16,1),'Energy Data Input'!$J$6:$J$205,"Cooling")</f>
        <v/>
      </c>
      <c r="I16" t="inlineStr">
        <is>
          <t>Area intensity overrun</t>
        </is>
      </c>
      <c r="J16">
        <f>COUNTIFS('Anomaly Detection'!$N$6:$N$205,$I16)</f>
        <v/>
      </c>
      <c r="L16" t="inlineStr">
        <is>
          <t>Hotel / serviced apartment</t>
        </is>
      </c>
      <c r="M16">
        <f>COUNTIFS('Anomaly Detection'!$D$6:$D$205,$L16,'Anomaly Detection'!$N$6:$N$205,"&lt;&gt;Normal",'Anomaly Detection'!$N$6:$N$205,"&lt;&gt;")</f>
        <v/>
      </c>
    </row>
    <row r="17">
      <c r="A17" s="136" t="n">
        <v>46174</v>
      </c>
      <c r="B17" s="137">
        <f>SUMIFS('Energy Data Input'!$N$6:$N$205,'Energy Data Input'!$B$6:$B$205,"&gt;="&amp;$A17,'Energy Data Input'!$B$6:$B$205,"&lt;"&amp;EDATE($A17,1),'Energy Data Input'!$J$6:$J$205,"Electricity")</f>
        <v/>
      </c>
      <c r="C17" s="137">
        <f>SUMIFS('Energy Data Input'!$N$6:$N$205,'Energy Data Input'!$B$6:$B$205,"&gt;="&amp;$A17,'Energy Data Input'!$B$6:$B$205,"&lt;"&amp;EDATE($A17,1),'Energy Data Input'!$J$6:$J$205,"Water")</f>
        <v/>
      </c>
      <c r="D17" s="137">
        <f>SUMIFS('Energy Data Input'!$N$6:$N$205,'Energy Data Input'!$B$6:$B$205,"&gt;="&amp;$A17,'Energy Data Input'!$B$6:$B$205,"&lt;"&amp;EDATE($A17,1),'Energy Data Input'!$J$6:$J$205,"Gas")</f>
        <v/>
      </c>
      <c r="E17" s="137">
        <f>SUMIFS('Energy Data Input'!$N$6:$N$205,'Energy Data Input'!$B$6:$B$205,"&gt;="&amp;$A17,'Energy Data Input'!$B$6:$B$205,"&lt;"&amp;EDATE($A17,1),'Energy Data Input'!$J$6:$J$205,"Heat")</f>
        <v/>
      </c>
      <c r="F17" s="137">
        <f>SUMIFS('Energy Data Input'!$N$6:$N$205,'Energy Data Input'!$B$6:$B$205,"&gt;="&amp;$A17,'Energy Data Input'!$B$6:$B$205,"&lt;"&amp;EDATE($A17,1),'Energy Data Input'!$J$6:$J$205,"Steam")</f>
        <v/>
      </c>
      <c r="G17" s="137">
        <f>SUMIFS('Energy Data Input'!$N$6:$N$205,'Energy Data Input'!$B$6:$B$205,"&gt;="&amp;$A17,'Energy Data Input'!$B$6:$B$205,"&lt;"&amp;EDATE($A17,1),'Energy Data Input'!$J$6:$J$205,"Cooling")</f>
        <v/>
      </c>
      <c r="I17" t="inlineStr">
        <is>
          <t>Stalled reading / possibly offline</t>
        </is>
      </c>
      <c r="J17">
        <f>COUNTIFS('Anomaly Detection'!$N$6:$N$205,$I17)</f>
        <v/>
      </c>
      <c r="L17" t="inlineStr">
        <is>
          <t>Data center / server room</t>
        </is>
      </c>
      <c r="M17">
        <f>COUNTIFS('Anomaly Detection'!$D$6:$D$205,$L17,'Anomaly Detection'!$N$6:$N$205,"&lt;&gt;Normal",'Anomaly Detection'!$N$6:$N$205,"&lt;&gt;")</f>
        <v/>
      </c>
    </row>
    <row r="18">
      <c r="A18" s="136" t="n">
        <v>46204</v>
      </c>
      <c r="B18" s="137">
        <f>SUMIFS('Energy Data Input'!$N$6:$N$205,'Energy Data Input'!$B$6:$B$205,"&gt;="&amp;$A18,'Energy Data Input'!$B$6:$B$205,"&lt;"&amp;EDATE($A18,1),'Energy Data Input'!$J$6:$J$205,"Electricity")</f>
        <v/>
      </c>
      <c r="C18" s="137">
        <f>SUMIFS('Energy Data Input'!$N$6:$N$205,'Energy Data Input'!$B$6:$B$205,"&gt;="&amp;$A18,'Energy Data Input'!$B$6:$B$205,"&lt;"&amp;EDATE($A18,1),'Energy Data Input'!$J$6:$J$205,"Water")</f>
        <v/>
      </c>
      <c r="D18" s="137">
        <f>SUMIFS('Energy Data Input'!$N$6:$N$205,'Energy Data Input'!$B$6:$B$205,"&gt;="&amp;$A18,'Energy Data Input'!$B$6:$B$205,"&lt;"&amp;EDATE($A18,1),'Energy Data Input'!$J$6:$J$205,"Gas")</f>
        <v/>
      </c>
      <c r="E18" s="137">
        <f>SUMIFS('Energy Data Input'!$N$6:$N$205,'Energy Data Input'!$B$6:$B$205,"&gt;="&amp;$A18,'Energy Data Input'!$B$6:$B$205,"&lt;"&amp;EDATE($A18,1),'Energy Data Input'!$J$6:$J$205,"Heat")</f>
        <v/>
      </c>
      <c r="F18" s="137">
        <f>SUMIFS('Energy Data Input'!$N$6:$N$205,'Energy Data Input'!$B$6:$B$205,"&gt;="&amp;$A18,'Energy Data Input'!$B$6:$B$205,"&lt;"&amp;EDATE($A18,1),'Energy Data Input'!$J$6:$J$205,"Steam")</f>
        <v/>
      </c>
      <c r="G18" s="137">
        <f>SUMIFS('Energy Data Input'!$N$6:$N$205,'Energy Data Input'!$B$6:$B$205,"&gt;="&amp;$A18,'Energy Data Input'!$B$6:$B$205,"&lt;"&amp;EDATE($A18,1),'Energy Data Input'!$J$6:$J$205,"Cooling")</f>
        <v/>
      </c>
      <c r="I18" t="inlineStr">
        <is>
          <t>Missing reading</t>
        </is>
      </c>
      <c r="J18">
        <f>COUNTIFS('Anomaly Detection'!$N$6:$N$205,$I18)</f>
        <v/>
      </c>
      <c r="L18" t="inlineStr">
        <is>
          <t>Municipal / water supply zone</t>
        </is>
      </c>
      <c r="M18">
        <f>COUNTIFS('Anomaly Detection'!$D$6:$D$205,$L18,'Anomaly Detection'!$N$6:$N$205,"&lt;&gt;Normal",'Anomaly Detection'!$N$6:$N$205,"&lt;&gt;")</f>
        <v/>
      </c>
    </row>
    <row r="19">
      <c r="A19" s="136" t="n">
        <v>46235</v>
      </c>
      <c r="B19" s="137">
        <f>SUMIFS('Energy Data Input'!$N$6:$N$205,'Energy Data Input'!$B$6:$B$205,"&gt;="&amp;$A19,'Energy Data Input'!$B$6:$B$205,"&lt;"&amp;EDATE($A19,1),'Energy Data Input'!$J$6:$J$205,"Electricity")</f>
        <v/>
      </c>
      <c r="C19" s="137">
        <f>SUMIFS('Energy Data Input'!$N$6:$N$205,'Energy Data Input'!$B$6:$B$205,"&gt;="&amp;$A19,'Energy Data Input'!$B$6:$B$205,"&lt;"&amp;EDATE($A19,1),'Energy Data Input'!$J$6:$J$205,"Water")</f>
        <v/>
      </c>
      <c r="D19" s="137">
        <f>SUMIFS('Energy Data Input'!$N$6:$N$205,'Energy Data Input'!$B$6:$B$205,"&gt;="&amp;$A19,'Energy Data Input'!$B$6:$B$205,"&lt;"&amp;EDATE($A19,1),'Energy Data Input'!$J$6:$J$205,"Gas")</f>
        <v/>
      </c>
      <c r="E19" s="137">
        <f>SUMIFS('Energy Data Input'!$N$6:$N$205,'Energy Data Input'!$B$6:$B$205,"&gt;="&amp;$A19,'Energy Data Input'!$B$6:$B$205,"&lt;"&amp;EDATE($A19,1),'Energy Data Input'!$J$6:$J$205,"Heat")</f>
        <v/>
      </c>
      <c r="F19" s="137">
        <f>SUMIFS('Energy Data Input'!$N$6:$N$205,'Energy Data Input'!$B$6:$B$205,"&gt;="&amp;$A19,'Energy Data Input'!$B$6:$B$205,"&lt;"&amp;EDATE($A19,1),'Energy Data Input'!$J$6:$J$205,"Steam")</f>
        <v/>
      </c>
      <c r="G19" s="137">
        <f>SUMIFS('Energy Data Input'!$N$6:$N$205,'Energy Data Input'!$B$6:$B$205,"&gt;="&amp;$A19,'Energy Data Input'!$B$6:$B$205,"&lt;"&amp;EDATE($A19,1),'Energy Data Input'!$J$6:$J$205,"Cooling")</f>
        <v/>
      </c>
      <c r="L19" t="inlineStr">
        <is>
          <t>Multi-subsidiary group</t>
        </is>
      </c>
      <c r="M19">
        <f>COUNTIFS('Anomaly Detection'!$D$6:$D$205,$L19,'Anomaly Detection'!$N$6:$N$205,"&lt;&gt;Normal",'Anomaly Detection'!$N$6:$N$205,"&lt;&gt;")</f>
        <v/>
      </c>
    </row>
    <row r="20">
      <c r="A20" s="136" t="n">
        <v>46266</v>
      </c>
      <c r="B20" s="137">
        <f>SUMIFS('Energy Data Input'!$N$6:$N$205,'Energy Data Input'!$B$6:$B$205,"&gt;="&amp;$A20,'Energy Data Input'!$B$6:$B$205,"&lt;"&amp;EDATE($A20,1),'Energy Data Input'!$J$6:$J$205,"Electricity")</f>
        <v/>
      </c>
      <c r="C20" s="137">
        <f>SUMIFS('Energy Data Input'!$N$6:$N$205,'Energy Data Input'!$B$6:$B$205,"&gt;="&amp;$A20,'Energy Data Input'!$B$6:$B$205,"&lt;"&amp;EDATE($A20,1),'Energy Data Input'!$J$6:$J$205,"Water")</f>
        <v/>
      </c>
      <c r="D20" s="137">
        <f>SUMIFS('Energy Data Input'!$N$6:$N$205,'Energy Data Input'!$B$6:$B$205,"&gt;="&amp;$A20,'Energy Data Input'!$B$6:$B$205,"&lt;"&amp;EDATE($A20,1),'Energy Data Input'!$J$6:$J$205,"Gas")</f>
        <v/>
      </c>
      <c r="E20" s="137">
        <f>SUMIFS('Energy Data Input'!$N$6:$N$205,'Energy Data Input'!$B$6:$B$205,"&gt;="&amp;$A20,'Energy Data Input'!$B$6:$B$205,"&lt;"&amp;EDATE($A20,1),'Energy Data Input'!$J$6:$J$205,"Heat")</f>
        <v/>
      </c>
      <c r="F20" s="137">
        <f>SUMIFS('Energy Data Input'!$N$6:$N$205,'Energy Data Input'!$B$6:$B$205,"&gt;="&amp;$A20,'Energy Data Input'!$B$6:$B$205,"&lt;"&amp;EDATE($A20,1),'Energy Data Input'!$J$6:$J$205,"Steam")</f>
        <v/>
      </c>
      <c r="G20" s="137">
        <f>SUMIFS('Energy Data Input'!$N$6:$N$205,'Energy Data Input'!$B$6:$B$205,"&gt;="&amp;$A20,'Energy Data Input'!$B$6:$B$205,"&lt;"&amp;EDATE($A20,1),'Energy Data Input'!$J$6:$J$205,"Cooling")</f>
        <v/>
      </c>
    </row>
    <row r="21">
      <c r="A21" s="136" t="n">
        <v>46296</v>
      </c>
      <c r="B21" s="137">
        <f>SUMIFS('Energy Data Input'!$N$6:$N$205,'Energy Data Input'!$B$6:$B$205,"&gt;="&amp;$A21,'Energy Data Input'!$B$6:$B$205,"&lt;"&amp;EDATE($A21,1),'Energy Data Input'!$J$6:$J$205,"Electricity")</f>
        <v/>
      </c>
      <c r="C21" s="137">
        <f>SUMIFS('Energy Data Input'!$N$6:$N$205,'Energy Data Input'!$B$6:$B$205,"&gt;="&amp;$A21,'Energy Data Input'!$B$6:$B$205,"&lt;"&amp;EDATE($A21,1),'Energy Data Input'!$J$6:$J$205,"Water")</f>
        <v/>
      </c>
      <c r="D21" s="137">
        <f>SUMIFS('Energy Data Input'!$N$6:$N$205,'Energy Data Input'!$B$6:$B$205,"&gt;="&amp;$A21,'Energy Data Input'!$B$6:$B$205,"&lt;"&amp;EDATE($A21,1),'Energy Data Input'!$J$6:$J$205,"Gas")</f>
        <v/>
      </c>
      <c r="E21" s="137">
        <f>SUMIFS('Energy Data Input'!$N$6:$N$205,'Energy Data Input'!$B$6:$B$205,"&gt;="&amp;$A21,'Energy Data Input'!$B$6:$B$205,"&lt;"&amp;EDATE($A21,1),'Energy Data Input'!$J$6:$J$205,"Heat")</f>
        <v/>
      </c>
      <c r="F21" s="137">
        <f>SUMIFS('Energy Data Input'!$N$6:$N$205,'Energy Data Input'!$B$6:$B$205,"&gt;="&amp;$A21,'Energy Data Input'!$B$6:$B$205,"&lt;"&amp;EDATE($A21,1),'Energy Data Input'!$J$6:$J$205,"Steam")</f>
        <v/>
      </c>
      <c r="G21" s="137">
        <f>SUMIFS('Energy Data Input'!$N$6:$N$205,'Energy Data Input'!$B$6:$B$205,"&gt;="&amp;$A21,'Energy Data Input'!$B$6:$B$205,"&lt;"&amp;EDATE($A21,1),'Energy Data Input'!$J$6:$J$205,"Cooling")</f>
        <v/>
      </c>
    </row>
    <row r="22">
      <c r="A22" s="136" t="n">
        <v>46327</v>
      </c>
      <c r="B22" s="137">
        <f>SUMIFS('Energy Data Input'!$N$6:$N$205,'Energy Data Input'!$B$6:$B$205,"&gt;="&amp;$A22,'Energy Data Input'!$B$6:$B$205,"&lt;"&amp;EDATE($A22,1),'Energy Data Input'!$J$6:$J$205,"Electricity")</f>
        <v/>
      </c>
      <c r="C22" s="137">
        <f>SUMIFS('Energy Data Input'!$N$6:$N$205,'Energy Data Input'!$B$6:$B$205,"&gt;="&amp;$A22,'Energy Data Input'!$B$6:$B$205,"&lt;"&amp;EDATE($A22,1),'Energy Data Input'!$J$6:$J$205,"Water")</f>
        <v/>
      </c>
      <c r="D22" s="137">
        <f>SUMIFS('Energy Data Input'!$N$6:$N$205,'Energy Data Input'!$B$6:$B$205,"&gt;="&amp;$A22,'Energy Data Input'!$B$6:$B$205,"&lt;"&amp;EDATE($A22,1),'Energy Data Input'!$J$6:$J$205,"Gas")</f>
        <v/>
      </c>
      <c r="E22" s="137">
        <f>SUMIFS('Energy Data Input'!$N$6:$N$205,'Energy Data Input'!$B$6:$B$205,"&gt;="&amp;$A22,'Energy Data Input'!$B$6:$B$205,"&lt;"&amp;EDATE($A22,1),'Energy Data Input'!$J$6:$J$205,"Heat")</f>
        <v/>
      </c>
      <c r="F22" s="137">
        <f>SUMIFS('Energy Data Input'!$N$6:$N$205,'Energy Data Input'!$B$6:$B$205,"&gt;="&amp;$A22,'Energy Data Input'!$B$6:$B$205,"&lt;"&amp;EDATE($A22,1),'Energy Data Input'!$J$6:$J$205,"Steam")</f>
        <v/>
      </c>
      <c r="G22" s="137">
        <f>SUMIFS('Energy Data Input'!$N$6:$N$205,'Energy Data Input'!$B$6:$B$205,"&gt;="&amp;$A22,'Energy Data Input'!$B$6:$B$205,"&lt;"&amp;EDATE($A22,1),'Energy Data Input'!$J$6:$J$205,"Cooling")</f>
        <v/>
      </c>
    </row>
    <row r="23">
      <c r="A23" s="136" t="n">
        <v>46357</v>
      </c>
      <c r="B23" s="137">
        <f>SUMIFS('Energy Data Input'!$N$6:$N$205,'Energy Data Input'!$B$6:$B$205,"&gt;="&amp;$A23,'Energy Data Input'!$B$6:$B$205,"&lt;"&amp;EDATE($A23,1),'Energy Data Input'!$J$6:$J$205,"Electricity")</f>
        <v/>
      </c>
      <c r="C23" s="137">
        <f>SUMIFS('Energy Data Input'!$N$6:$N$205,'Energy Data Input'!$B$6:$B$205,"&gt;="&amp;$A23,'Energy Data Input'!$B$6:$B$205,"&lt;"&amp;EDATE($A23,1),'Energy Data Input'!$J$6:$J$205,"Water")</f>
        <v/>
      </c>
      <c r="D23" s="137">
        <f>SUMIFS('Energy Data Input'!$N$6:$N$205,'Energy Data Input'!$B$6:$B$205,"&gt;="&amp;$A23,'Energy Data Input'!$B$6:$B$205,"&lt;"&amp;EDATE($A23,1),'Energy Data Input'!$J$6:$J$205,"Gas")</f>
        <v/>
      </c>
      <c r="E23" s="137">
        <f>SUMIFS('Energy Data Input'!$N$6:$N$205,'Energy Data Input'!$B$6:$B$205,"&gt;="&amp;$A23,'Energy Data Input'!$B$6:$B$205,"&lt;"&amp;EDATE($A23,1),'Energy Data Input'!$J$6:$J$205,"Heat")</f>
        <v/>
      </c>
      <c r="F23" s="137">
        <f>SUMIFS('Energy Data Input'!$N$6:$N$205,'Energy Data Input'!$B$6:$B$205,"&gt;="&amp;$A23,'Energy Data Input'!$B$6:$B$205,"&lt;"&amp;EDATE($A23,1),'Energy Data Input'!$J$6:$J$205,"Steam")</f>
        <v/>
      </c>
      <c r="G23" s="137">
        <f>SUMIFS('Energy Data Input'!$N$6:$N$205,'Energy Data Input'!$B$6:$B$205,"&gt;="&amp;$A23,'Energy Data Input'!$B$6:$B$205,"&lt;"&amp;EDATE($A23,1),'Energy Data Input'!$J$6:$J$205,"Cooling")</f>
        <v/>
      </c>
    </row>
  </sheetData>
  <mergeCells count="4">
    <mergeCell ref="F7:J7"/>
    <mergeCell ref="F8:J8"/>
    <mergeCell ref="A1:M1"/>
    <mergeCell ref="F6:J6"/>
  </mergeCells>
  <dataValidations count="2">
    <dataValidation sqref="B7" showDropDown="0" showInputMessage="0" showErrorMessage="0" allowBlank="0" type="list">
      <formula1>Base Settings!$M$13:$M$21</formula1>
    </dataValidation>
    <dataValidation sqref="B8" showDropDown="0" showInputMessage="0" showErrorMessage="0" allowBlank="0" type="list">
      <formula1>Base Settings!$S$13:$S$19</formula1>
    </dataValidation>
  </dataValidations>
  <pageMargins left="0.7" right="0.7" top="0.75" bottom="0.75" header="0.3" footer="0.3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Y20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4" customWidth="1" min="3" max="3"/>
    <col width="20" customWidth="1" min="4" max="4"/>
    <col width="18" customWidth="1" min="5" max="5"/>
    <col width="18" customWidth="1" min="6" max="6"/>
    <col width="22" customWidth="1" min="7" max="7"/>
    <col width="22" customWidth="1" min="8" max="8"/>
    <col width="16" customWidth="1" min="9" max="9"/>
    <col width="10" customWidth="1" min="10" max="10"/>
    <col width="10" customWidth="1" min="11" max="11"/>
    <col width="12" customWidth="1" min="12" max="12"/>
    <col width="12" customWidth="1" min="13" max="13"/>
    <col width="12" customWidth="1" min="14" max="14"/>
    <col width="10" customWidth="1" min="15" max="15"/>
    <col width="12" customWidth="1" min="16" max="16"/>
    <col width="14" customWidth="1" min="17" max="17"/>
    <col width="10" customWidth="1" min="18" max="18"/>
    <col width="10" customWidth="1" min="19" max="19"/>
    <col width="12" customWidth="1" min="20" max="20"/>
    <col width="14" customWidth="1" min="21" max="21"/>
    <col width="14" customWidth="1" min="22" max="22"/>
    <col width="16" customWidth="1" min="23" max="23"/>
    <col width="16" customWidth="1" min="24" max="24"/>
    <col width="28" customWidth="1" min="25" max="25"/>
  </cols>
  <sheetData>
    <row r="1" ht="34" customHeight="1">
      <c r="A1" s="9" t="inlineStr">
        <is>
          <t>Energy Data Entry by Company, Scenario, Area, and Meter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 ht="24" customHeight="1">
      <c r="A2" s="13" t="inlineStr">
        <is>
          <t>Usage notes</t>
        </is>
      </c>
      <c r="B2" s="13" t="inlineStr">
        <is>
          <t>Enter date, company, scenario, area, equipment, energy type, current and previous readings, area, and business volume. Unit, price, usage, amount, carbon, and intensity are calculated automatically.</t>
        </is>
      </c>
      <c r="C2" s="13" t="n"/>
      <c r="D2" s="13" t="n"/>
      <c r="E2" s="13" t="n"/>
      <c r="F2" s="13" t="n"/>
      <c r="G2" s="13" t="n"/>
      <c r="H2" s="13" t="n"/>
      <c r="I2" s="13" t="n"/>
      <c r="J2" s="13" t="n"/>
      <c r="K2" s="13" t="n"/>
      <c r="L2" s="13" t="n"/>
      <c r="M2" s="13" t="n"/>
      <c r="N2" s="13" t="n"/>
      <c r="O2" s="13" t="n"/>
      <c r="P2" s="13" t="n"/>
      <c r="Q2" s="13" t="n"/>
      <c r="R2" s="13" t="n"/>
      <c r="S2" s="13" t="n"/>
      <c r="T2" s="13" t="n"/>
      <c r="U2" s="13" t="n"/>
      <c r="V2" s="13" t="n"/>
      <c r="W2" s="13" t="n"/>
      <c r="X2" s="13" t="n"/>
      <c r="Y2" s="13" t="n"/>
    </row>
    <row r="3" ht="24" customHeight="1">
      <c r="A3" s="13" t="inlineStr">
        <is>
          <t>Input rules</t>
        </is>
      </c>
      <c r="B3" s="13" t="inlineStr">
        <is>
          <t>Yellow columns are recommended inputs; blue-green columns are formulas. Paste exports from meter reading, billing, or IoT systems.</t>
        </is>
      </c>
      <c r="C3" s="13" t="n"/>
      <c r="D3" s="13" t="n"/>
      <c r="E3" s="13" t="n"/>
      <c r="F3" s="13" t="n"/>
      <c r="G3" s="13" t="n"/>
      <c r="H3" s="13" t="n"/>
      <c r="I3" s="13" t="n"/>
      <c r="J3" s="13" t="n"/>
      <c r="K3" s="13" t="n"/>
      <c r="L3" s="13" t="n"/>
      <c r="M3" s="13" t="n"/>
      <c r="N3" s="13" t="n"/>
      <c r="O3" s="13" t="n"/>
      <c r="P3" s="13" t="n"/>
      <c r="Q3" s="13" t="n"/>
      <c r="R3" s="13" t="n"/>
      <c r="S3" s="13" t="n"/>
      <c r="T3" s="13" t="n"/>
      <c r="U3" s="13" t="n"/>
      <c r="V3" s="13" t="n"/>
      <c r="W3" s="13" t="n"/>
      <c r="X3" s="13" t="n"/>
      <c r="Y3" s="13" t="n"/>
    </row>
    <row r="5">
      <c r="A5" s="30" t="inlineStr">
        <is>
          <t>Record ID</t>
        </is>
      </c>
      <c r="B5" s="30" t="inlineStr">
        <is>
          <t>Date</t>
        </is>
      </c>
      <c r="C5" s="30" t="inlineStr">
        <is>
          <t>Company</t>
        </is>
      </c>
      <c r="D5" s="30" t="inlineStr">
        <is>
          <t>Business scenario</t>
        </is>
      </c>
      <c r="E5" s="30" t="inlineStr">
        <is>
          <t>Area / site</t>
        </is>
      </c>
      <c r="F5" s="30" t="inlineStr">
        <is>
          <t>Building / floor</t>
        </is>
      </c>
      <c r="G5" s="30" t="inlineStr">
        <is>
          <t>Department / tenant / line</t>
        </is>
      </c>
      <c r="H5" s="30" t="inlineStr">
        <is>
          <t>Equipment / metering point</t>
        </is>
      </c>
      <c r="I5" s="30" t="inlineStr">
        <is>
          <t>Meter ID</t>
        </is>
      </c>
      <c r="J5" s="30" t="inlineStr">
        <is>
          <t>Energy type</t>
        </is>
      </c>
      <c r="K5" s="30" t="inlineStr">
        <is>
          <t>Unit</t>
        </is>
      </c>
      <c r="L5" s="30" t="inlineStr">
        <is>
          <t>Current reading</t>
        </is>
      </c>
      <c r="M5" s="30" t="inlineStr">
        <is>
          <t>Previous reading</t>
        </is>
      </c>
      <c r="N5" s="30" t="inlineStr">
        <is>
          <t>Current usage</t>
        </is>
      </c>
      <c r="O5" s="30" t="inlineStr">
        <is>
          <t>Unit price</t>
        </is>
      </c>
      <c r="P5" s="30" t="inlineStr">
        <is>
          <t>Amount</t>
        </is>
      </c>
      <c r="Q5" s="30" t="inlineStr">
        <is>
          <t>Time band / shift</t>
        </is>
      </c>
      <c r="R5" s="30" t="inlineStr">
        <is>
          <t>Occupancy</t>
        </is>
      </c>
      <c r="S5" s="30" t="inlineStr">
        <is>
          <t>Area m2</t>
        </is>
      </c>
      <c r="T5" s="30" t="inlineStr">
        <is>
          <t>Output / business volume</t>
        </is>
      </c>
      <c r="U5" s="30" t="inlineStr">
        <is>
          <t>Carbon kgCO2e</t>
        </is>
      </c>
      <c r="V5" s="30" t="inlineStr">
        <is>
          <t>Energy per area</t>
        </is>
      </c>
      <c r="W5" s="30" t="inlineStr">
        <is>
          <t>Energy per business volume</t>
        </is>
      </c>
      <c r="X5" s="30" t="inlineStr">
        <is>
          <t>Data source</t>
        </is>
      </c>
      <c r="Y5" s="30" t="inlineStr">
        <is>
          <t>Notes</t>
        </is>
      </c>
    </row>
    <row r="6">
      <c r="A6" s="80" t="inlineStr">
        <is>
          <t>D0001</t>
        </is>
      </c>
      <c r="B6" s="138" t="n">
        <v>46113</v>
      </c>
      <c r="C6" s="80" t="inlineStr">
        <is>
          <t>Example Group</t>
        </is>
      </c>
      <c r="D6" s="80" t="inlineStr">
        <is>
          <t>Office building / headquarters campus</t>
        </is>
      </c>
      <c r="E6" s="80" t="inlineStr">
        <is>
          <t>Headquarters campus</t>
        </is>
      </c>
      <c r="F6" s="80" t="inlineStr">
        <is>
          <t>Building A / 1F</t>
        </is>
      </c>
      <c r="G6" s="80" t="inlineStr">
        <is>
          <t>Administration office</t>
        </is>
      </c>
      <c r="H6" s="80" t="inlineStr">
        <is>
          <t>Lighting circuit A1</t>
        </is>
      </c>
      <c r="I6" s="80" t="inlineStr">
        <is>
          <t>E-A1-001</t>
        </is>
      </c>
      <c r="J6" s="80" t="inlineStr">
        <is>
          <t>Electricity</t>
        </is>
      </c>
      <c r="K6" s="82">
        <f>IF($J6="","",IFERROR(VLOOKUP($J6,'Base Settings'!$A$13:$K$19,2,FALSE),""))</f>
        <v/>
      </c>
      <c r="L6" s="139" t="n">
        <v>12880</v>
      </c>
      <c r="M6" s="139" t="n">
        <v>12630</v>
      </c>
      <c r="N6" s="140">
        <f>IF(OR($L6="",$M6=""),"",MAX(0,$L6-$M6))</f>
        <v/>
      </c>
      <c r="O6" s="140">
        <f>IF($J6="","",IFERROR(VLOOKUP($J6,'Base Settings'!$A$13:$K$19,3,FALSE),0))</f>
        <v/>
      </c>
      <c r="P6" s="140">
        <f>IF($N6="","",$N6*$O6)</f>
        <v/>
      </c>
      <c r="Q6" s="139" t="inlineStr">
        <is>
          <t>All day</t>
        </is>
      </c>
      <c r="R6" s="139" t="n">
        <v>120</v>
      </c>
      <c r="S6" s="139" t="n">
        <v>2200</v>
      </c>
      <c r="T6" s="139" t="n">
        <v>0</v>
      </c>
      <c r="U6" s="140">
        <f>IF($J6="","",IFERROR($N6*VLOOKUP($J6,'Base Settings'!$A$13:$K$19,4,FALSE),0))</f>
        <v/>
      </c>
      <c r="V6" s="140">
        <f>IFERROR($N6/$S6,"")</f>
        <v/>
      </c>
      <c r="W6" s="140">
        <f>IFERROR($N6/$T6,"")</f>
        <v/>
      </c>
      <c r="X6" s="80" t="inlineStr">
        <is>
          <t>Automatic meter reading</t>
        </is>
      </c>
      <c r="Y6" s="80" t="inlineStr">
        <is>
          <t>示例，可删除</t>
        </is>
      </c>
    </row>
    <row r="7">
      <c r="A7" s="80" t="inlineStr">
        <is>
          <t>D0002</t>
        </is>
      </c>
      <c r="B7" s="138" t="n">
        <v>46113</v>
      </c>
      <c r="C7" s="80" t="inlineStr">
        <is>
          <t>Example Group</t>
        </is>
      </c>
      <c r="D7" s="80" t="inlineStr">
        <is>
          <t>Office building / headquarters campus</t>
        </is>
      </c>
      <c r="E7" s="80" t="inlineStr">
        <is>
          <t>Headquarters campus</t>
        </is>
      </c>
      <c r="F7" s="80" t="inlineStr">
        <is>
          <t>Building A / B1</t>
        </is>
      </c>
      <c r="G7" s="80" t="inlineStr">
        <is>
          <t>Public restroom</t>
        </is>
      </c>
      <c r="H7" s="80" t="inlineStr">
        <is>
          <t>Main water meter A</t>
        </is>
      </c>
      <c r="I7" s="80" t="inlineStr">
        <is>
          <t>W-A-001</t>
        </is>
      </c>
      <c r="J7" s="80" t="inlineStr">
        <is>
          <t>Water</t>
        </is>
      </c>
      <c r="K7" s="82">
        <f>IF($J7="","",IFERROR(VLOOKUP($J7,'Base Settings'!$A$13:$K$19,2,FALSE),""))</f>
        <v/>
      </c>
      <c r="L7" s="139" t="n">
        <v>3560</v>
      </c>
      <c r="M7" s="139" t="n">
        <v>3546</v>
      </c>
      <c r="N7" s="140">
        <f>IF(OR($L7="",$M7=""),"",MAX(0,$L7-$M7))</f>
        <v/>
      </c>
      <c r="O7" s="140">
        <f>IF($J7="","",IFERROR(VLOOKUP($J7,'Base Settings'!$A$13:$K$19,3,FALSE),0))</f>
        <v/>
      </c>
      <c r="P7" s="140">
        <f>IF($N7="","",$N7*$O7)</f>
        <v/>
      </c>
      <c r="Q7" s="139" t="inlineStr">
        <is>
          <t>低负荷/夜间</t>
        </is>
      </c>
      <c r="R7" s="139" t="n">
        <v>120</v>
      </c>
      <c r="S7" s="139" t="n">
        <v>2200</v>
      </c>
      <c r="T7" s="139" t="n">
        <v>0</v>
      </c>
      <c r="U7" s="140">
        <f>IF($J7="","",IFERROR($N7*VLOOKUP($J7,'Base Settings'!$A$13:$K$19,4,FALSE),0))</f>
        <v/>
      </c>
      <c r="V7" s="140">
        <f>IFERROR($N7/$S7,"")</f>
        <v/>
      </c>
      <c r="W7" s="140">
        <f>IFERROR($N7/$T7,"")</f>
        <v/>
      </c>
      <c r="X7" s="80" t="inlineStr">
        <is>
          <t>Automatic meter reading</t>
        </is>
      </c>
      <c r="Y7" s="80" t="inlineStr">
        <is>
          <t>夜间小流量检查</t>
        </is>
      </c>
    </row>
    <row r="8">
      <c r="A8" s="80" t="inlineStr">
        <is>
          <t>D0003</t>
        </is>
      </c>
      <c r="B8" s="138" t="n">
        <v>46114</v>
      </c>
      <c r="C8" s="80" t="inlineStr">
        <is>
          <t>Example Group</t>
        </is>
      </c>
      <c r="D8" s="80" t="inlineStr">
        <is>
          <t>Commercial complex / office building</t>
        </is>
      </c>
      <c r="E8" s="80" t="inlineStr">
        <is>
          <t>Commercial center</t>
        </is>
      </c>
      <c r="F8" s="80" t="inlineStr">
        <is>
          <t>3F</t>
        </is>
      </c>
      <c r="G8" s="80" t="inlineStr">
        <is>
          <t>Restaurant tenant C01</t>
        </is>
      </c>
      <c r="H8" s="80" t="inlineStr">
        <is>
          <t>Restaurant water meter C01</t>
        </is>
      </c>
      <c r="I8" s="80" t="inlineStr">
        <is>
          <t>W-C01-003</t>
        </is>
      </c>
      <c r="J8" s="80" t="inlineStr">
        <is>
          <t>Water</t>
        </is>
      </c>
      <c r="K8" s="82">
        <f>IF($J8="","",IFERROR(VLOOKUP($J8,'Base Settings'!$A$13:$K$19,2,FALSE),""))</f>
        <v/>
      </c>
      <c r="L8" s="139" t="n">
        <v>846</v>
      </c>
      <c r="M8" s="139" t="n">
        <v>812</v>
      </c>
      <c r="N8" s="140">
        <f>IF(OR($L8="",$M8=""),"",MAX(0,$L8-$M8))</f>
        <v/>
      </c>
      <c r="O8" s="140">
        <f>IF($J8="","",IFERROR(VLOOKUP($J8,'Base Settings'!$A$13:$K$19,3,FALSE),0))</f>
        <v/>
      </c>
      <c r="P8" s="140">
        <f>IF($N8="","",$N8*$O8)</f>
        <v/>
      </c>
      <c r="Q8" s="139" t="inlineStr">
        <is>
          <t>Peak</t>
        </is>
      </c>
      <c r="R8" s="139" t="n">
        <v>0</v>
      </c>
      <c r="S8" s="139" t="n">
        <v>380</v>
      </c>
      <c r="T8" s="139" t="n">
        <v>0</v>
      </c>
      <c r="U8" s="140">
        <f>IF($J8="","",IFERROR($N8*VLOOKUP($J8,'Base Settings'!$A$13:$K$19,4,FALSE),0))</f>
        <v/>
      </c>
      <c r="V8" s="140">
        <f>IFERROR($N8/$S8,"")</f>
        <v/>
      </c>
      <c r="W8" s="140">
        <f>IFERROR($N8/$T8,"")</f>
        <v/>
      </c>
      <c r="X8" s="80" t="inlineStr">
        <is>
          <t>IoT platform import</t>
        </is>
      </c>
      <c r="Y8" s="80" t="inlineStr">
        <is>
          <t>餐饮用Water突增示例</t>
        </is>
      </c>
    </row>
    <row r="9">
      <c r="A9" s="80" t="inlineStr">
        <is>
          <t>D0004</t>
        </is>
      </c>
      <c r="B9" s="138" t="n">
        <v>46114</v>
      </c>
      <c r="C9" s="80" t="inlineStr">
        <is>
          <t>Example Group</t>
        </is>
      </c>
      <c r="D9" s="80" t="inlineStr">
        <is>
          <t>Industrial park / factory</t>
        </is>
      </c>
      <c r="E9" s="80" t="inlineStr">
        <is>
          <t>Plant 1</t>
        </is>
      </c>
      <c r="F9" s="80" t="inlineStr">
        <is>
          <t>Workshop 1</t>
        </is>
      </c>
      <c r="G9" s="80" t="inlineStr">
        <is>
          <t>Production line A</t>
        </is>
      </c>
      <c r="H9" s="80" t="inlineStr">
        <is>
          <t>Production line A main meter</t>
        </is>
      </c>
      <c r="I9" s="80" t="inlineStr">
        <is>
          <t>E-LA-001</t>
        </is>
      </c>
      <c r="J9" s="80" t="inlineStr">
        <is>
          <t>Electricity</t>
        </is>
      </c>
      <c r="K9" s="82">
        <f>IF($J9="","",IFERROR(VLOOKUP($J9,'Base Settings'!$A$13:$K$19,2,FALSE),""))</f>
        <v/>
      </c>
      <c r="L9" s="139" t="n">
        <v>92600</v>
      </c>
      <c r="M9" s="139" t="n">
        <v>91450</v>
      </c>
      <c r="N9" s="140">
        <f>IF(OR($L9="",$M9=""),"",MAX(0,$L9-$M9))</f>
        <v/>
      </c>
      <c r="O9" s="140">
        <f>IF($J9="","",IFERROR(VLOOKUP($J9,'Base Settings'!$A$13:$K$19,3,FALSE),0))</f>
        <v/>
      </c>
      <c r="P9" s="140">
        <f>IF($N9="","",$N9*$O9)</f>
        <v/>
      </c>
      <c r="Q9" s="139" t="inlineStr">
        <is>
          <t>Day shift</t>
        </is>
      </c>
      <c r="R9" s="139" t="n">
        <v>60</v>
      </c>
      <c r="S9" s="139" t="n">
        <v>1500</v>
      </c>
      <c r="T9" s="139" t="n">
        <v>980</v>
      </c>
      <c r="U9" s="140">
        <f>IF($J9="","",IFERROR($N9*VLOOKUP($J9,'Base Settings'!$A$13:$K$19,4,FALSE),0))</f>
        <v/>
      </c>
      <c r="V9" s="140">
        <f>IFERROR($N9/$S9,"")</f>
        <v/>
      </c>
      <c r="W9" s="140">
        <f>IFERROR($N9/$T9,"")</f>
        <v/>
      </c>
      <c r="X9" s="80" t="inlineStr">
        <is>
          <t>ERP / MES import</t>
        </is>
      </c>
      <c r="Y9" s="80" t="inlineStr">
        <is>
          <t>关联产量</t>
        </is>
      </c>
    </row>
    <row r="10">
      <c r="A10" s="80" t="inlineStr">
        <is>
          <t>D0005</t>
        </is>
      </c>
      <c r="B10" s="138" t="n">
        <v>46115</v>
      </c>
      <c r="C10" s="80" t="inlineStr">
        <is>
          <t>Example Group</t>
        </is>
      </c>
      <c r="D10" s="80" t="inlineStr">
        <is>
          <t>Industrial park / factory</t>
        </is>
      </c>
      <c r="E10" s="80" t="inlineStr">
        <is>
          <t>动力站</t>
        </is>
      </c>
      <c r="F10" s="80" t="inlineStr">
        <is>
          <t>锅炉房</t>
        </is>
      </c>
      <c r="G10" s="80" t="inlineStr">
        <is>
          <t>锅炉系统</t>
        </is>
      </c>
      <c r="H10" s="80" t="inlineStr">
        <is>
          <t>燃Gas总表G1</t>
        </is>
      </c>
      <c r="I10" s="80" t="inlineStr">
        <is>
          <t>G-BLR-001</t>
        </is>
      </c>
      <c r="J10" s="80" t="inlineStr">
        <is>
          <t>Gas</t>
        </is>
      </c>
      <c r="K10" s="82">
        <f>IF($J10="","",IFERROR(VLOOKUP($J10,'Base Settings'!$A$13:$K$19,2,FALSE),""))</f>
        <v/>
      </c>
      <c r="L10" s="139" t="n">
        <v>18680</v>
      </c>
      <c r="M10" s="139" t="n">
        <v>18120</v>
      </c>
      <c r="N10" s="140">
        <f>IF(OR($L10="",$M10=""),"",MAX(0,$L10-$M10))</f>
        <v/>
      </c>
      <c r="O10" s="140">
        <f>IF($J10="","",IFERROR(VLOOKUP($J10,'Base Settings'!$A$13:$K$19,3,FALSE),0))</f>
        <v/>
      </c>
      <c r="P10" s="140">
        <f>IF($N10="","",$N10*$O10)</f>
        <v/>
      </c>
      <c r="Q10" s="139" t="inlineStr">
        <is>
          <t>All day</t>
        </is>
      </c>
      <c r="R10" s="139" t="n">
        <v>8</v>
      </c>
      <c r="S10" s="139" t="n">
        <v>450</v>
      </c>
      <c r="T10" s="139" t="n">
        <v>0</v>
      </c>
      <c r="U10" s="140">
        <f>IF($J10="","",IFERROR($N10*VLOOKUP($J10,'Base Settings'!$A$13:$K$19,4,FALSE),0))</f>
        <v/>
      </c>
      <c r="V10" s="140">
        <f>IFERROR($N10/$S10,"")</f>
        <v/>
      </c>
      <c r="W10" s="140">
        <f>IFERROR($N10/$T10,"")</f>
        <v/>
      </c>
      <c r="X10" s="80" t="inlineStr">
        <is>
          <t>Automatic meter reading</t>
        </is>
      </c>
      <c r="Y10" s="80" t="inlineStr">
        <is>
          <t>锅炉用Gas</t>
        </is>
      </c>
    </row>
    <row r="11">
      <c r="A11" s="80" t="inlineStr">
        <is>
          <t>D0006</t>
        </is>
      </c>
      <c r="B11" s="138" t="n">
        <v>46115</v>
      </c>
      <c r="C11" s="80" t="inlineStr">
        <is>
          <t>Example Group</t>
        </is>
      </c>
      <c r="D11" s="80" t="inlineStr">
        <is>
          <t>School / hospital</t>
        </is>
      </c>
      <c r="E11" s="80" t="inlineStr">
        <is>
          <t>Hospital campus</t>
        </is>
      </c>
      <c r="F11" s="80" t="inlineStr">
        <is>
          <t>Inpatient building</t>
        </is>
      </c>
      <c r="G11" s="80" t="inlineStr">
        <is>
          <t>Hot water system</t>
        </is>
      </c>
      <c r="H11" s="80" t="inlineStr">
        <is>
          <t>HeatWater总表</t>
        </is>
      </c>
      <c r="I11" s="80" t="inlineStr">
        <is>
          <t>H-HW-001</t>
        </is>
      </c>
      <c r="J11" s="80" t="inlineStr">
        <is>
          <t>Heat</t>
        </is>
      </c>
      <c r="K11" s="82">
        <f>IF($J11="","",IFERROR(VLOOKUP($J11,'Base Settings'!$A$13:$K$19,2,FALSE),""))</f>
        <v/>
      </c>
      <c r="L11" s="139" t="n">
        <v>2340</v>
      </c>
      <c r="M11" s="139" t="n">
        <v>2318</v>
      </c>
      <c r="N11" s="140">
        <f>IF(OR($L11="",$M11=""),"",MAX(0,$L11-$M11))</f>
        <v/>
      </c>
      <c r="O11" s="140">
        <f>IF($J11="","",IFERROR(VLOOKUP($J11,'Base Settings'!$A$13:$K$19,3,FALSE),0))</f>
        <v/>
      </c>
      <c r="P11" s="140">
        <f>IF($N11="","",$N11*$O11)</f>
        <v/>
      </c>
      <c r="Q11" s="139" t="inlineStr">
        <is>
          <t>All day</t>
        </is>
      </c>
      <c r="R11" s="139" t="n">
        <v>420</v>
      </c>
      <c r="S11" s="139" t="n">
        <v>7800</v>
      </c>
      <c r="T11" s="139" t="n">
        <v>0</v>
      </c>
      <c r="U11" s="140">
        <f>IF($J11="","",IFERROR($N11*VLOOKUP($J11,'Base Settings'!$A$13:$K$19,4,FALSE),0))</f>
        <v/>
      </c>
      <c r="V11" s="140">
        <f>IFERROR($N11/$S11,"")</f>
        <v/>
      </c>
      <c r="W11" s="140">
        <f>IFERROR($N11/$T11,"")</f>
        <v/>
      </c>
      <c r="X11" s="80" t="inlineStr">
        <is>
          <t>Bill import</t>
        </is>
      </c>
      <c r="Y11" s="80" t="inlineStr">
        <is>
          <t>Inpatient buildingHeat耗</t>
        </is>
      </c>
    </row>
    <row r="12">
      <c r="A12" s="80" t="inlineStr">
        <is>
          <t>D0007</t>
        </is>
      </c>
      <c r="B12" s="138" t="n">
        <v>46116</v>
      </c>
      <c r="C12" s="80" t="inlineStr">
        <is>
          <t>Example Group</t>
        </is>
      </c>
      <c r="D12" s="80" t="inlineStr">
        <is>
          <t>Hotel / serviced apartment</t>
        </is>
      </c>
      <c r="E12" s="80" t="inlineStr">
        <is>
          <t>Apartment campus</t>
        </is>
      </c>
      <c r="F12" s="80" t="inlineStr">
        <is>
          <t>Building 2</t>
        </is>
      </c>
      <c r="G12" s="80" t="inlineStr">
        <is>
          <t>长租公寓</t>
        </is>
      </c>
      <c r="H12" s="80" t="inlineStr">
        <is>
          <t>Building 2 water meter</t>
        </is>
      </c>
      <c r="I12" s="80" t="inlineStr">
        <is>
          <t>W-APT-002</t>
        </is>
      </c>
      <c r="J12" s="80" t="inlineStr">
        <is>
          <t>Water</t>
        </is>
      </c>
      <c r="K12" s="82">
        <f>IF($J12="","",IFERROR(VLOOKUP($J12,'Base Settings'!$A$13:$K$19,2,FALSE),""))</f>
        <v/>
      </c>
      <c r="L12" s="139" t="n">
        <v>1120</v>
      </c>
      <c r="M12" s="139" t="n">
        <v>1118</v>
      </c>
      <c r="N12" s="140">
        <f>IF(OR($L12="",$M12=""),"",MAX(0,$L12-$M12))</f>
        <v/>
      </c>
      <c r="O12" s="140">
        <f>IF($J12="","",IFERROR(VLOOKUP($J12,'Base Settings'!$A$13:$K$19,3,FALSE),0))</f>
        <v/>
      </c>
      <c r="P12" s="140">
        <f>IF($N12="","",$N12*$O12)</f>
        <v/>
      </c>
      <c r="Q12" s="139" t="inlineStr">
        <is>
          <t>低负荷/夜间</t>
        </is>
      </c>
      <c r="R12" s="139" t="n">
        <v>80</v>
      </c>
      <c r="S12" s="139" t="n">
        <v>3200</v>
      </c>
      <c r="T12" s="139" t="n">
        <v>0</v>
      </c>
      <c r="U12" s="140">
        <f>IF($J12="","",IFERROR($N12*VLOOKUP($J12,'Base Settings'!$A$13:$K$19,4,FALSE),0))</f>
        <v/>
      </c>
      <c r="V12" s="140">
        <f>IFERROR($N12/$S12,"")</f>
        <v/>
      </c>
      <c r="W12" s="140">
        <f>IFERROR($N12/$T12,"")</f>
        <v/>
      </c>
      <c r="X12" s="80" t="inlineStr">
        <is>
          <t>Automatic meter reading</t>
        </is>
      </c>
      <c r="Y12" s="80" t="inlineStr">
        <is>
          <t>Water use while vacant排查</t>
        </is>
      </c>
    </row>
    <row r="13">
      <c r="A13" s="80" t="inlineStr">
        <is>
          <t>D0008</t>
        </is>
      </c>
      <c r="B13" s="138" t="n">
        <v>46116</v>
      </c>
      <c r="C13" s="80" t="inlineStr">
        <is>
          <t>Example Group</t>
        </is>
      </c>
      <c r="D13" s="80" t="inlineStr">
        <is>
          <t>Data center / server room</t>
        </is>
      </c>
      <c r="E13" s="80" t="inlineStr">
        <is>
          <t>DC1</t>
        </is>
      </c>
      <c r="F13" s="80" t="inlineStr">
        <is>
          <t>Server room 1</t>
        </is>
      </c>
      <c r="G13" s="80" t="inlineStr">
        <is>
          <t>Chiller plant</t>
        </is>
      </c>
      <c r="H13" s="80" t="inlineStr">
        <is>
          <t>Chilled water cooling meter</t>
        </is>
      </c>
      <c r="I13" s="80" t="inlineStr">
        <is>
          <t>C-CH-001</t>
        </is>
      </c>
      <c r="J13" s="80" t="inlineStr">
        <is>
          <t>Cooling</t>
        </is>
      </c>
      <c r="K13" s="82">
        <f>IF($J13="","",IFERROR(VLOOKUP($J13,'Base Settings'!$A$13:$K$19,2,FALSE),""))</f>
        <v/>
      </c>
      <c r="L13" s="139" t="n">
        <v>5680</v>
      </c>
      <c r="M13" s="139" t="n">
        <v>5620</v>
      </c>
      <c r="N13" s="140">
        <f>IF(OR($L13="",$M13=""),"",MAX(0,$L13-$M13))</f>
        <v/>
      </c>
      <c r="O13" s="140">
        <f>IF($J13="","",IFERROR(VLOOKUP($J13,'Base Settings'!$A$13:$K$19,3,FALSE),0))</f>
        <v/>
      </c>
      <c r="P13" s="140">
        <f>IF($N13="","",$N13*$O13)</f>
        <v/>
      </c>
      <c r="Q13" s="139" t="inlineStr">
        <is>
          <t>All day</t>
        </is>
      </c>
      <c r="R13" s="139" t="n">
        <v>0</v>
      </c>
      <c r="S13" s="139" t="n">
        <v>600</v>
      </c>
      <c r="T13" s="139" t="n">
        <v>42</v>
      </c>
      <c r="U13" s="140">
        <f>IF($J13="","",IFERROR($N13*VLOOKUP($J13,'Base Settings'!$A$13:$K$19,4,FALSE),0))</f>
        <v/>
      </c>
      <c r="V13" s="140">
        <f>IFERROR($N13/$S13,"")</f>
        <v/>
      </c>
      <c r="W13" s="140">
        <f>IFERROR($N13/$T13,"")</f>
        <v/>
      </c>
      <c r="X13" s="80" t="inlineStr">
        <is>
          <t>IoT platform import</t>
        </is>
      </c>
      <c r="Y13" s="80" t="inlineStr">
        <is>
          <t>Cooling/IT负载</t>
        </is>
      </c>
    </row>
    <row r="14">
      <c r="A14" s="80" t="inlineStr">
        <is>
          <t>D0009</t>
        </is>
      </c>
      <c r="B14" s="138" t="n">
        <v>46117</v>
      </c>
      <c r="C14" s="80" t="inlineStr">
        <is>
          <t>Example Group</t>
        </is>
      </c>
      <c r="D14" s="80" t="inlineStr">
        <is>
          <t>Municipal / water supply zone</t>
        </is>
      </c>
      <c r="E14" s="80" t="inlineStr">
        <is>
          <t>DMA-01</t>
        </is>
      </c>
      <c r="F14" s="80" t="inlineStr">
        <is>
          <t>Zone A</t>
        </is>
      </c>
      <c r="G14" s="80" t="inlineStr">
        <is>
          <t>供Water分区</t>
        </is>
      </c>
      <c r="H14" s="80" t="inlineStr">
        <is>
          <t>DMA-01 main meter</t>
        </is>
      </c>
      <c r="I14" s="80" t="inlineStr">
        <is>
          <t>W-DMA-001</t>
        </is>
      </c>
      <c r="J14" s="80" t="inlineStr">
        <is>
          <t>Water</t>
        </is>
      </c>
      <c r="K14" s="82">
        <f>IF($J14="","",IFERROR(VLOOKUP($J14,'Base Settings'!$A$13:$K$19,2,FALSE),""))</f>
        <v/>
      </c>
      <c r="L14" s="139" t="n">
        <v>48900</v>
      </c>
      <c r="M14" s="139" t="n">
        <v>48840</v>
      </c>
      <c r="N14" s="140">
        <f>IF(OR($L14="",$M14=""),"",MAX(0,$L14-$M14))</f>
        <v/>
      </c>
      <c r="O14" s="140">
        <f>IF($J14="","",IFERROR(VLOOKUP($J14,'Base Settings'!$A$13:$K$19,3,FALSE),0))</f>
        <v/>
      </c>
      <c r="P14" s="140">
        <f>IF($N14="","",$N14*$O14)</f>
        <v/>
      </c>
      <c r="Q14" s="139" t="inlineStr">
        <is>
          <t>低负荷/夜间</t>
        </is>
      </c>
      <c r="R14" s="139" t="n">
        <v>0</v>
      </c>
      <c r="S14" s="139" t="n">
        <v>0</v>
      </c>
      <c r="T14" s="139" t="n">
        <v>0</v>
      </c>
      <c r="U14" s="140">
        <f>IF($J14="","",IFERROR($N14*VLOOKUP($J14,'Base Settings'!$A$13:$K$19,4,FALSE),0))</f>
        <v/>
      </c>
      <c r="V14" s="140">
        <f>IFERROR($N14/$S14,"")</f>
        <v/>
      </c>
      <c r="W14" s="140">
        <f>IFERROR($N14/$T14,"")</f>
        <v/>
      </c>
      <c r="X14" s="80" t="inlineStr">
        <is>
          <t>Automatic meter reading</t>
        </is>
      </c>
      <c r="Y14" s="80" t="inlineStr">
        <is>
          <t>夜间最小流量</t>
        </is>
      </c>
    </row>
    <row r="15">
      <c r="A15" s="80" t="inlineStr">
        <is>
          <t>D0010</t>
        </is>
      </c>
      <c r="B15" s="138" t="n">
        <v>46118</v>
      </c>
      <c r="C15" s="80" t="inlineStr">
        <is>
          <t>Example Group</t>
        </is>
      </c>
      <c r="D15" s="80" t="inlineStr">
        <is>
          <t>Office building / headquarters campus</t>
        </is>
      </c>
      <c r="E15" s="80" t="inlineStr">
        <is>
          <t>Headquarters campus</t>
        </is>
      </c>
      <c r="F15" s="80" t="inlineStr">
        <is>
          <t>Building A / 2F</t>
        </is>
      </c>
      <c r="G15" s="80" t="inlineStr">
        <is>
          <t>空调系统</t>
        </is>
      </c>
      <c r="H15" s="80" t="inlineStr">
        <is>
          <t>空调回路A2</t>
        </is>
      </c>
      <c r="I15" s="80" t="inlineStr">
        <is>
          <t>E-A2-AC</t>
        </is>
      </c>
      <c r="J15" s="80" t="inlineStr">
        <is>
          <t>Electricity</t>
        </is>
      </c>
      <c r="K15" s="82">
        <f>IF($J15="","",IFERROR(VLOOKUP($J15,'Base Settings'!$A$13:$K$19,2,FALSE),""))</f>
        <v/>
      </c>
      <c r="L15" s="139" t="n">
        <v>21600</v>
      </c>
      <c r="M15" s="139" t="n">
        <v>21280</v>
      </c>
      <c r="N15" s="140">
        <f>IF(OR($L15="",$M15=""),"",MAX(0,$L15-$M15))</f>
        <v/>
      </c>
      <c r="O15" s="140">
        <f>IF($J15="","",IFERROR(VLOOKUP($J15,'Base Settings'!$A$13:$K$19,3,FALSE),0))</f>
        <v/>
      </c>
      <c r="P15" s="140">
        <f>IF($N15="","",$N15*$O15)</f>
        <v/>
      </c>
      <c r="Q15" s="139" t="inlineStr">
        <is>
          <t>All day</t>
        </is>
      </c>
      <c r="R15" s="139" t="n">
        <v>115</v>
      </c>
      <c r="S15" s="139" t="n">
        <v>2200</v>
      </c>
      <c r="T15" s="139" t="n">
        <v>0</v>
      </c>
      <c r="U15" s="140">
        <f>IF($J15="","",IFERROR($N15*VLOOKUP($J15,'Base Settings'!$A$13:$K$19,4,FALSE),0))</f>
        <v/>
      </c>
      <c r="V15" s="140">
        <f>IFERROR($N15/$S15,"")</f>
        <v/>
      </c>
      <c r="W15" s="140">
        <f>IFERROR($N15/$T15,"")</f>
        <v/>
      </c>
      <c r="X15" s="80" t="inlineStr">
        <is>
          <t>Automatic meter reading</t>
        </is>
      </c>
      <c r="Y15" s="80" t="inlineStr">
        <is>
          <t>空调能耗</t>
        </is>
      </c>
    </row>
    <row r="16">
      <c r="A16" s="80" t="inlineStr">
        <is>
          <t>D0011</t>
        </is>
      </c>
      <c r="B16" s="138" t="n">
        <v>46119</v>
      </c>
      <c r="C16" s="80" t="inlineStr">
        <is>
          <t>Example Group</t>
        </is>
      </c>
      <c r="D16" s="80" t="inlineStr">
        <is>
          <t>Commercial complex / office building</t>
        </is>
      </c>
      <c r="E16" s="80" t="inlineStr">
        <is>
          <t>Commercial center</t>
        </is>
      </c>
      <c r="F16" s="80" t="inlineStr">
        <is>
          <t>公区</t>
        </is>
      </c>
      <c r="G16" s="80" t="inlineStr">
        <is>
          <t>公共照明</t>
        </is>
      </c>
      <c r="H16" s="80" t="inlineStr">
        <is>
          <t>公区照明总表</t>
        </is>
      </c>
      <c r="I16" s="80" t="inlineStr">
        <is>
          <t>E-MALL-PUB</t>
        </is>
      </c>
      <c r="J16" s="80" t="inlineStr">
        <is>
          <t>Electricity</t>
        </is>
      </c>
      <c r="K16" s="82">
        <f>IF($J16="","",IFERROR(VLOOKUP($J16,'Base Settings'!$A$13:$K$19,2,FALSE),""))</f>
        <v/>
      </c>
      <c r="L16" s="139" t="n">
        <v>74800</v>
      </c>
      <c r="M16" s="139" t="n">
        <v>74120</v>
      </c>
      <c r="N16" s="140">
        <f>IF(OR($L16="",$M16=""),"",MAX(0,$L16-$M16))</f>
        <v/>
      </c>
      <c r="O16" s="140">
        <f>IF($J16="","",IFERROR(VLOOKUP($J16,'Base Settings'!$A$13:$K$19,3,FALSE),0))</f>
        <v/>
      </c>
      <c r="P16" s="140">
        <f>IF($N16="","",$N16*$O16)</f>
        <v/>
      </c>
      <c r="Q16" s="139" t="inlineStr">
        <is>
          <t>All day</t>
        </is>
      </c>
      <c r="R16" s="139" t="n">
        <v>0</v>
      </c>
      <c r="S16" s="139" t="n">
        <v>12500</v>
      </c>
      <c r="T16" s="139" t="n">
        <v>0</v>
      </c>
      <c r="U16" s="140">
        <f>IF($J16="","",IFERROR($N16*VLOOKUP($J16,'Base Settings'!$A$13:$K$19,4,FALSE),0))</f>
        <v/>
      </c>
      <c r="V16" s="140">
        <f>IFERROR($N16/$S16,"")</f>
        <v/>
      </c>
      <c r="W16" s="140">
        <f>IFERROR($N16/$T16,"")</f>
        <v/>
      </c>
      <c r="X16" s="80" t="inlineStr">
        <is>
          <t>Automatic meter reading</t>
        </is>
      </c>
      <c r="Y16" s="80" t="inlineStr">
        <is>
          <t>公摊用Electricity</t>
        </is>
      </c>
    </row>
    <row r="17">
      <c r="A17" s="80" t="inlineStr">
        <is>
          <t>D0012</t>
        </is>
      </c>
      <c r="B17" s="138" t="n">
        <v>46120</v>
      </c>
      <c r="C17" s="80" t="inlineStr">
        <is>
          <t>Example Group</t>
        </is>
      </c>
      <c r="D17" s="80" t="inlineStr">
        <is>
          <t>Multi-subsidiary group</t>
        </is>
      </c>
      <c r="E17" s="80" t="inlineStr">
        <is>
          <t>East China branch</t>
        </is>
      </c>
      <c r="F17" s="80" t="inlineStr">
        <is>
          <t>Campus total</t>
        </is>
      </c>
      <c r="G17" s="80" t="inlineStr">
        <is>
          <t>Integrated energy</t>
        </is>
      </c>
      <c r="H17" s="80" t="inlineStr">
        <is>
          <t>Standard coal equivalent</t>
        </is>
      </c>
      <c r="I17" s="80" t="inlineStr">
        <is>
          <t>T-CE-001</t>
        </is>
      </c>
      <c r="J17" s="80" t="inlineStr">
        <is>
          <t>Integrated energy use</t>
        </is>
      </c>
      <c r="K17" s="82">
        <f>IF($J17="","",IFERROR(VLOOKUP($J17,'Base Settings'!$A$13:$K$19,2,FALSE),""))</f>
        <v/>
      </c>
      <c r="L17" s="139" t="n">
        <v>8500</v>
      </c>
      <c r="M17" s="139" t="n">
        <v>8320</v>
      </c>
      <c r="N17" s="140">
        <f>IF(OR($L17="",$M17=""),"",MAX(0,$L17-$M17))</f>
        <v/>
      </c>
      <c r="O17" s="140">
        <f>IF($J17="","",IFERROR(VLOOKUP($J17,'Base Settings'!$A$13:$K$19,3,FALSE),0))</f>
        <v/>
      </c>
      <c r="P17" s="140">
        <f>IF($N17="","",$N17*$O17)</f>
        <v/>
      </c>
      <c r="Q17" s="139" t="inlineStr">
        <is>
          <t>All day</t>
        </is>
      </c>
      <c r="R17" s="139" t="n">
        <v>0</v>
      </c>
      <c r="S17" s="139" t="n">
        <v>26000</v>
      </c>
      <c r="T17" s="139" t="n">
        <v>1800</v>
      </c>
      <c r="U17" s="140">
        <f>IF($J17="","",IFERROR($N17*VLOOKUP($J17,'Base Settings'!$A$13:$K$19,4,FALSE),0))</f>
        <v/>
      </c>
      <c r="V17" s="140">
        <f>IFERROR($N17/$S17,"")</f>
        <v/>
      </c>
      <c r="W17" s="140">
        <f>IFERROR($N17/$T17,"")</f>
        <v/>
      </c>
      <c r="X17" s="80" t="inlineStr">
        <is>
          <t>Bill import</t>
        </is>
      </c>
      <c r="Y17" s="80" t="inlineStr">
        <is>
          <t>Monthly conversion example</t>
        </is>
      </c>
    </row>
    <row r="18">
      <c r="A18" s="80" t="n"/>
      <c r="B18" s="138" t="n"/>
      <c r="C18" s="80" t="n"/>
      <c r="D18" s="80" t="n"/>
      <c r="E18" s="80" t="n"/>
      <c r="F18" s="80" t="n"/>
      <c r="G18" s="80" t="n"/>
      <c r="H18" s="80" t="n"/>
      <c r="I18" s="80" t="n"/>
      <c r="J18" s="80" t="n"/>
      <c r="K18" s="82">
        <f>IF($J18="","",IFERROR(VLOOKUP($J18,'Base Settings'!$A$13:$K$19,2,FALSE),""))</f>
        <v/>
      </c>
      <c r="L18" s="139" t="n"/>
      <c r="M18" s="139" t="n"/>
      <c r="N18" s="140">
        <f>IF(OR($L18="",$M18=""),"",MAX(0,$L18-$M18))</f>
        <v/>
      </c>
      <c r="O18" s="140">
        <f>IF($J18="","",IFERROR(VLOOKUP($J18,'Base Settings'!$A$13:$K$19,3,FALSE),0))</f>
        <v/>
      </c>
      <c r="P18" s="140">
        <f>IF($N18="","",$N18*$O18)</f>
        <v/>
      </c>
      <c r="Q18" s="139" t="n"/>
      <c r="R18" s="139" t="n"/>
      <c r="S18" s="139" t="n"/>
      <c r="T18" s="139" t="n"/>
      <c r="U18" s="140">
        <f>IF($J18="","",IFERROR($N18*VLOOKUP($J18,'Base Settings'!$A$13:$K$19,4,FALSE),0))</f>
        <v/>
      </c>
      <c r="V18" s="140">
        <f>IFERROR($N18/$S18,"")</f>
        <v/>
      </c>
      <c r="W18" s="140">
        <f>IFERROR($N18/$T18,"")</f>
        <v/>
      </c>
      <c r="X18" s="80" t="n"/>
      <c r="Y18" s="80" t="n"/>
    </row>
    <row r="19">
      <c r="A19" s="80" t="n"/>
      <c r="B19" s="138" t="n"/>
      <c r="C19" s="80" t="n"/>
      <c r="D19" s="80" t="n"/>
      <c r="E19" s="80" t="n"/>
      <c r="F19" s="80" t="n"/>
      <c r="G19" s="80" t="n"/>
      <c r="H19" s="80" t="n"/>
      <c r="I19" s="80" t="n"/>
      <c r="J19" s="80" t="n"/>
      <c r="K19" s="82">
        <f>IF($J19="","",IFERROR(VLOOKUP($J19,'Base Settings'!$A$13:$K$19,2,FALSE),""))</f>
        <v/>
      </c>
      <c r="L19" s="139" t="n"/>
      <c r="M19" s="139" t="n"/>
      <c r="N19" s="140">
        <f>IF(OR($L19="",$M19=""),"",MAX(0,$L19-$M19))</f>
        <v/>
      </c>
      <c r="O19" s="140">
        <f>IF($J19="","",IFERROR(VLOOKUP($J19,'Base Settings'!$A$13:$K$19,3,FALSE),0))</f>
        <v/>
      </c>
      <c r="P19" s="140">
        <f>IF($N19="","",$N19*$O19)</f>
        <v/>
      </c>
      <c r="Q19" s="139" t="n"/>
      <c r="R19" s="139" t="n"/>
      <c r="S19" s="139" t="n"/>
      <c r="T19" s="139" t="n"/>
      <c r="U19" s="140">
        <f>IF($J19="","",IFERROR($N19*VLOOKUP($J19,'Base Settings'!$A$13:$K$19,4,FALSE),0))</f>
        <v/>
      </c>
      <c r="V19" s="140">
        <f>IFERROR($N19/$S19,"")</f>
        <v/>
      </c>
      <c r="W19" s="140">
        <f>IFERROR($N19/$T19,"")</f>
        <v/>
      </c>
      <c r="X19" s="80" t="n"/>
      <c r="Y19" s="80" t="n"/>
    </row>
    <row r="20">
      <c r="A20" s="80" t="n"/>
      <c r="B20" s="138" t="n"/>
      <c r="C20" s="80" t="n"/>
      <c r="D20" s="80" t="n"/>
      <c r="E20" s="80" t="n"/>
      <c r="F20" s="80" t="n"/>
      <c r="G20" s="80" t="n"/>
      <c r="H20" s="80" t="n"/>
      <c r="I20" s="80" t="n"/>
      <c r="J20" s="80" t="n"/>
      <c r="K20" s="82">
        <f>IF($J20="","",IFERROR(VLOOKUP($J20,'Base Settings'!$A$13:$K$19,2,FALSE),""))</f>
        <v/>
      </c>
      <c r="L20" s="139" t="n"/>
      <c r="M20" s="139" t="n"/>
      <c r="N20" s="140">
        <f>IF(OR($L20="",$M20=""),"",MAX(0,$L20-$M20))</f>
        <v/>
      </c>
      <c r="O20" s="140">
        <f>IF($J20="","",IFERROR(VLOOKUP($J20,'Base Settings'!$A$13:$K$19,3,FALSE),0))</f>
        <v/>
      </c>
      <c r="P20" s="140">
        <f>IF($N20="","",$N20*$O20)</f>
        <v/>
      </c>
      <c r="Q20" s="139" t="n"/>
      <c r="R20" s="139" t="n"/>
      <c r="S20" s="139" t="n"/>
      <c r="T20" s="139" t="n"/>
      <c r="U20" s="140">
        <f>IF($J20="","",IFERROR($N20*VLOOKUP($J20,'Base Settings'!$A$13:$K$19,4,FALSE),0))</f>
        <v/>
      </c>
      <c r="V20" s="140">
        <f>IFERROR($N20/$S20,"")</f>
        <v/>
      </c>
      <c r="W20" s="140">
        <f>IFERROR($N20/$T20,"")</f>
        <v/>
      </c>
      <c r="X20" s="80" t="n"/>
      <c r="Y20" s="80" t="n"/>
    </row>
    <row r="21">
      <c r="A21" s="80" t="n"/>
      <c r="B21" s="138" t="n"/>
      <c r="C21" s="80" t="n"/>
      <c r="D21" s="80" t="n"/>
      <c r="E21" s="80" t="n"/>
      <c r="F21" s="80" t="n"/>
      <c r="G21" s="80" t="n"/>
      <c r="H21" s="80" t="n"/>
      <c r="I21" s="80" t="n"/>
      <c r="J21" s="80" t="n"/>
      <c r="K21" s="82">
        <f>IF($J21="","",IFERROR(VLOOKUP($J21,'Base Settings'!$A$13:$K$19,2,FALSE),""))</f>
        <v/>
      </c>
      <c r="L21" s="139" t="n"/>
      <c r="M21" s="139" t="n"/>
      <c r="N21" s="140">
        <f>IF(OR($L21="",$M21=""),"",MAX(0,$L21-$M21))</f>
        <v/>
      </c>
      <c r="O21" s="140">
        <f>IF($J21="","",IFERROR(VLOOKUP($J21,'Base Settings'!$A$13:$K$19,3,FALSE),0))</f>
        <v/>
      </c>
      <c r="P21" s="140">
        <f>IF($N21="","",$N21*$O21)</f>
        <v/>
      </c>
      <c r="Q21" s="139" t="n"/>
      <c r="R21" s="139" t="n"/>
      <c r="S21" s="139" t="n"/>
      <c r="T21" s="139" t="n"/>
      <c r="U21" s="140">
        <f>IF($J21="","",IFERROR($N21*VLOOKUP($J21,'Base Settings'!$A$13:$K$19,4,FALSE),0))</f>
        <v/>
      </c>
      <c r="V21" s="140">
        <f>IFERROR($N21/$S21,"")</f>
        <v/>
      </c>
      <c r="W21" s="140">
        <f>IFERROR($N21/$T21,"")</f>
        <v/>
      </c>
      <c r="X21" s="80" t="n"/>
      <c r="Y21" s="80" t="n"/>
    </row>
    <row r="22">
      <c r="A22" s="80" t="n"/>
      <c r="B22" s="138" t="n"/>
      <c r="C22" s="80" t="n"/>
      <c r="D22" s="80" t="n"/>
      <c r="E22" s="80" t="n"/>
      <c r="F22" s="80" t="n"/>
      <c r="G22" s="80" t="n"/>
      <c r="H22" s="80" t="n"/>
      <c r="I22" s="80" t="n"/>
      <c r="J22" s="80" t="n"/>
      <c r="K22" s="82">
        <f>IF($J22="","",IFERROR(VLOOKUP($J22,'Base Settings'!$A$13:$K$19,2,FALSE),""))</f>
        <v/>
      </c>
      <c r="L22" s="139" t="n"/>
      <c r="M22" s="139" t="n"/>
      <c r="N22" s="140">
        <f>IF(OR($L22="",$M22=""),"",MAX(0,$L22-$M22))</f>
        <v/>
      </c>
      <c r="O22" s="140">
        <f>IF($J22="","",IFERROR(VLOOKUP($J22,'Base Settings'!$A$13:$K$19,3,FALSE),0))</f>
        <v/>
      </c>
      <c r="P22" s="140">
        <f>IF($N22="","",$N22*$O22)</f>
        <v/>
      </c>
      <c r="Q22" s="139" t="n"/>
      <c r="R22" s="139" t="n"/>
      <c r="S22" s="139" t="n"/>
      <c r="T22" s="139" t="n"/>
      <c r="U22" s="140">
        <f>IF($J22="","",IFERROR($N22*VLOOKUP($J22,'Base Settings'!$A$13:$K$19,4,FALSE),0))</f>
        <v/>
      </c>
      <c r="V22" s="140">
        <f>IFERROR($N22/$S22,"")</f>
        <v/>
      </c>
      <c r="W22" s="140">
        <f>IFERROR($N22/$T22,"")</f>
        <v/>
      </c>
      <c r="X22" s="80" t="n"/>
      <c r="Y22" s="80" t="n"/>
    </row>
    <row r="23">
      <c r="A23" s="80" t="n"/>
      <c r="B23" s="138" t="n"/>
      <c r="C23" s="80" t="n"/>
      <c r="D23" s="80" t="n"/>
      <c r="E23" s="80" t="n"/>
      <c r="F23" s="80" t="n"/>
      <c r="G23" s="80" t="n"/>
      <c r="H23" s="80" t="n"/>
      <c r="I23" s="80" t="n"/>
      <c r="J23" s="80" t="n"/>
      <c r="K23" s="82">
        <f>IF($J23="","",IFERROR(VLOOKUP($J23,'Base Settings'!$A$13:$K$19,2,FALSE),""))</f>
        <v/>
      </c>
      <c r="L23" s="139" t="n"/>
      <c r="M23" s="139" t="n"/>
      <c r="N23" s="140">
        <f>IF(OR($L23="",$M23=""),"",MAX(0,$L23-$M23))</f>
        <v/>
      </c>
      <c r="O23" s="140">
        <f>IF($J23="","",IFERROR(VLOOKUP($J23,'Base Settings'!$A$13:$K$19,3,FALSE),0))</f>
        <v/>
      </c>
      <c r="P23" s="140">
        <f>IF($N23="","",$N23*$O23)</f>
        <v/>
      </c>
      <c r="Q23" s="139" t="n"/>
      <c r="R23" s="139" t="n"/>
      <c r="S23" s="139" t="n"/>
      <c r="T23" s="139" t="n"/>
      <c r="U23" s="140">
        <f>IF($J23="","",IFERROR($N23*VLOOKUP($J23,'Base Settings'!$A$13:$K$19,4,FALSE),0))</f>
        <v/>
      </c>
      <c r="V23" s="140">
        <f>IFERROR($N23/$S23,"")</f>
        <v/>
      </c>
      <c r="W23" s="140">
        <f>IFERROR($N23/$T23,"")</f>
        <v/>
      </c>
      <c r="X23" s="80" t="n"/>
      <c r="Y23" s="80" t="n"/>
    </row>
    <row r="24">
      <c r="A24" s="80" t="n"/>
      <c r="B24" s="138" t="n"/>
      <c r="C24" s="80" t="n"/>
      <c r="D24" s="80" t="n"/>
      <c r="E24" s="80" t="n"/>
      <c r="F24" s="80" t="n"/>
      <c r="G24" s="80" t="n"/>
      <c r="H24" s="80" t="n"/>
      <c r="I24" s="80" t="n"/>
      <c r="J24" s="80" t="n"/>
      <c r="K24" s="82">
        <f>IF($J24="","",IFERROR(VLOOKUP($J24,'Base Settings'!$A$13:$K$19,2,FALSE),""))</f>
        <v/>
      </c>
      <c r="L24" s="139" t="n"/>
      <c r="M24" s="139" t="n"/>
      <c r="N24" s="140">
        <f>IF(OR($L24="",$M24=""),"",MAX(0,$L24-$M24))</f>
        <v/>
      </c>
      <c r="O24" s="140">
        <f>IF($J24="","",IFERROR(VLOOKUP($J24,'Base Settings'!$A$13:$K$19,3,FALSE),0))</f>
        <v/>
      </c>
      <c r="P24" s="140">
        <f>IF($N24="","",$N24*$O24)</f>
        <v/>
      </c>
      <c r="Q24" s="139" t="n"/>
      <c r="R24" s="139" t="n"/>
      <c r="S24" s="139" t="n"/>
      <c r="T24" s="139" t="n"/>
      <c r="U24" s="140">
        <f>IF($J24="","",IFERROR($N24*VLOOKUP($J24,'Base Settings'!$A$13:$K$19,4,FALSE),0))</f>
        <v/>
      </c>
      <c r="V24" s="140">
        <f>IFERROR($N24/$S24,"")</f>
        <v/>
      </c>
      <c r="W24" s="140">
        <f>IFERROR($N24/$T24,"")</f>
        <v/>
      </c>
      <c r="X24" s="80" t="n"/>
      <c r="Y24" s="80" t="n"/>
    </row>
    <row r="25">
      <c r="A25" s="80" t="n"/>
      <c r="B25" s="138" t="n"/>
      <c r="C25" s="80" t="n"/>
      <c r="D25" s="80" t="n"/>
      <c r="E25" s="80" t="n"/>
      <c r="F25" s="80" t="n"/>
      <c r="G25" s="80" t="n"/>
      <c r="H25" s="80" t="n"/>
      <c r="I25" s="80" t="n"/>
      <c r="J25" s="80" t="n"/>
      <c r="K25" s="82">
        <f>IF($J25="","",IFERROR(VLOOKUP($J25,'Base Settings'!$A$13:$K$19,2,FALSE),""))</f>
        <v/>
      </c>
      <c r="L25" s="139" t="n"/>
      <c r="M25" s="139" t="n"/>
      <c r="N25" s="140">
        <f>IF(OR($L25="",$M25=""),"",MAX(0,$L25-$M25))</f>
        <v/>
      </c>
      <c r="O25" s="140">
        <f>IF($J25="","",IFERROR(VLOOKUP($J25,'Base Settings'!$A$13:$K$19,3,FALSE),0))</f>
        <v/>
      </c>
      <c r="P25" s="140">
        <f>IF($N25="","",$N25*$O25)</f>
        <v/>
      </c>
      <c r="Q25" s="139" t="n"/>
      <c r="R25" s="139" t="n"/>
      <c r="S25" s="139" t="n"/>
      <c r="T25" s="139" t="n"/>
      <c r="U25" s="140">
        <f>IF($J25="","",IFERROR($N25*VLOOKUP($J25,'Base Settings'!$A$13:$K$19,4,FALSE),0))</f>
        <v/>
      </c>
      <c r="V25" s="140">
        <f>IFERROR($N25/$S25,"")</f>
        <v/>
      </c>
      <c r="W25" s="140">
        <f>IFERROR($N25/$T25,"")</f>
        <v/>
      </c>
      <c r="X25" s="80" t="n"/>
      <c r="Y25" s="80" t="n"/>
    </row>
    <row r="26">
      <c r="A26" s="80" t="n"/>
      <c r="B26" s="138" t="n"/>
      <c r="C26" s="80" t="n"/>
      <c r="D26" s="80" t="n"/>
      <c r="E26" s="80" t="n"/>
      <c r="F26" s="80" t="n"/>
      <c r="G26" s="80" t="n"/>
      <c r="H26" s="80" t="n"/>
      <c r="I26" s="80" t="n"/>
      <c r="J26" s="80" t="n"/>
      <c r="K26" s="82">
        <f>IF($J26="","",IFERROR(VLOOKUP($J26,'Base Settings'!$A$13:$K$19,2,FALSE),""))</f>
        <v/>
      </c>
      <c r="L26" s="139" t="n"/>
      <c r="M26" s="139" t="n"/>
      <c r="N26" s="140">
        <f>IF(OR($L26="",$M26=""),"",MAX(0,$L26-$M26))</f>
        <v/>
      </c>
      <c r="O26" s="140">
        <f>IF($J26="","",IFERROR(VLOOKUP($J26,'Base Settings'!$A$13:$K$19,3,FALSE),0))</f>
        <v/>
      </c>
      <c r="P26" s="140">
        <f>IF($N26="","",$N26*$O26)</f>
        <v/>
      </c>
      <c r="Q26" s="139" t="n"/>
      <c r="R26" s="139" t="n"/>
      <c r="S26" s="139" t="n"/>
      <c r="T26" s="139" t="n"/>
      <c r="U26" s="140">
        <f>IF($J26="","",IFERROR($N26*VLOOKUP($J26,'Base Settings'!$A$13:$K$19,4,FALSE),0))</f>
        <v/>
      </c>
      <c r="V26" s="140">
        <f>IFERROR($N26/$S26,"")</f>
        <v/>
      </c>
      <c r="W26" s="140">
        <f>IFERROR($N26/$T26,"")</f>
        <v/>
      </c>
      <c r="X26" s="80" t="n"/>
      <c r="Y26" s="80" t="n"/>
    </row>
    <row r="27">
      <c r="A27" s="80" t="n"/>
      <c r="B27" s="138" t="n"/>
      <c r="C27" s="80" t="n"/>
      <c r="D27" s="80" t="n"/>
      <c r="E27" s="80" t="n"/>
      <c r="F27" s="80" t="n"/>
      <c r="G27" s="80" t="n"/>
      <c r="H27" s="80" t="n"/>
      <c r="I27" s="80" t="n"/>
      <c r="J27" s="80" t="n"/>
      <c r="K27" s="82">
        <f>IF($J27="","",IFERROR(VLOOKUP($J27,'Base Settings'!$A$13:$K$19,2,FALSE),""))</f>
        <v/>
      </c>
      <c r="L27" s="139" t="n"/>
      <c r="M27" s="139" t="n"/>
      <c r="N27" s="140">
        <f>IF(OR($L27="",$M27=""),"",MAX(0,$L27-$M27))</f>
        <v/>
      </c>
      <c r="O27" s="140">
        <f>IF($J27="","",IFERROR(VLOOKUP($J27,'Base Settings'!$A$13:$K$19,3,FALSE),0))</f>
        <v/>
      </c>
      <c r="P27" s="140">
        <f>IF($N27="","",$N27*$O27)</f>
        <v/>
      </c>
      <c r="Q27" s="139" t="n"/>
      <c r="R27" s="139" t="n"/>
      <c r="S27" s="139" t="n"/>
      <c r="T27" s="139" t="n"/>
      <c r="U27" s="140">
        <f>IF($J27="","",IFERROR($N27*VLOOKUP($J27,'Base Settings'!$A$13:$K$19,4,FALSE),0))</f>
        <v/>
      </c>
      <c r="V27" s="140">
        <f>IFERROR($N27/$S27,"")</f>
        <v/>
      </c>
      <c r="W27" s="140">
        <f>IFERROR($N27/$T27,"")</f>
        <v/>
      </c>
      <c r="X27" s="80" t="n"/>
      <c r="Y27" s="80" t="n"/>
    </row>
    <row r="28">
      <c r="A28" s="80" t="n"/>
      <c r="B28" s="138" t="n"/>
      <c r="C28" s="80" t="n"/>
      <c r="D28" s="80" t="n"/>
      <c r="E28" s="80" t="n"/>
      <c r="F28" s="80" t="n"/>
      <c r="G28" s="80" t="n"/>
      <c r="H28" s="80" t="n"/>
      <c r="I28" s="80" t="n"/>
      <c r="J28" s="80" t="n"/>
      <c r="K28" s="82">
        <f>IF($J28="","",IFERROR(VLOOKUP($J28,'Base Settings'!$A$13:$K$19,2,FALSE),""))</f>
        <v/>
      </c>
      <c r="L28" s="139" t="n"/>
      <c r="M28" s="139" t="n"/>
      <c r="N28" s="140">
        <f>IF(OR($L28="",$M28=""),"",MAX(0,$L28-$M28))</f>
        <v/>
      </c>
      <c r="O28" s="140">
        <f>IF($J28="","",IFERROR(VLOOKUP($J28,'Base Settings'!$A$13:$K$19,3,FALSE),0))</f>
        <v/>
      </c>
      <c r="P28" s="140">
        <f>IF($N28="","",$N28*$O28)</f>
        <v/>
      </c>
      <c r="Q28" s="139" t="n"/>
      <c r="R28" s="139" t="n"/>
      <c r="S28" s="139" t="n"/>
      <c r="T28" s="139" t="n"/>
      <c r="U28" s="140">
        <f>IF($J28="","",IFERROR($N28*VLOOKUP($J28,'Base Settings'!$A$13:$K$19,4,FALSE),0))</f>
        <v/>
      </c>
      <c r="V28" s="140">
        <f>IFERROR($N28/$S28,"")</f>
        <v/>
      </c>
      <c r="W28" s="140">
        <f>IFERROR($N28/$T28,"")</f>
        <v/>
      </c>
      <c r="X28" s="80" t="n"/>
      <c r="Y28" s="80" t="n"/>
    </row>
    <row r="29">
      <c r="A29" s="80" t="n"/>
      <c r="B29" s="138" t="n"/>
      <c r="C29" s="80" t="n"/>
      <c r="D29" s="80" t="n"/>
      <c r="E29" s="80" t="n"/>
      <c r="F29" s="80" t="n"/>
      <c r="G29" s="80" t="n"/>
      <c r="H29" s="80" t="n"/>
      <c r="I29" s="80" t="n"/>
      <c r="J29" s="80" t="n"/>
      <c r="K29" s="82">
        <f>IF($J29="","",IFERROR(VLOOKUP($J29,'Base Settings'!$A$13:$K$19,2,FALSE),""))</f>
        <v/>
      </c>
      <c r="L29" s="139" t="n"/>
      <c r="M29" s="139" t="n"/>
      <c r="N29" s="140">
        <f>IF(OR($L29="",$M29=""),"",MAX(0,$L29-$M29))</f>
        <v/>
      </c>
      <c r="O29" s="140">
        <f>IF($J29="","",IFERROR(VLOOKUP($J29,'Base Settings'!$A$13:$K$19,3,FALSE),0))</f>
        <v/>
      </c>
      <c r="P29" s="140">
        <f>IF($N29="","",$N29*$O29)</f>
        <v/>
      </c>
      <c r="Q29" s="139" t="n"/>
      <c r="R29" s="139" t="n"/>
      <c r="S29" s="139" t="n"/>
      <c r="T29" s="139" t="n"/>
      <c r="U29" s="140">
        <f>IF($J29="","",IFERROR($N29*VLOOKUP($J29,'Base Settings'!$A$13:$K$19,4,FALSE),0))</f>
        <v/>
      </c>
      <c r="V29" s="140">
        <f>IFERROR($N29/$S29,"")</f>
        <v/>
      </c>
      <c r="W29" s="140">
        <f>IFERROR($N29/$T29,"")</f>
        <v/>
      </c>
      <c r="X29" s="80" t="n"/>
      <c r="Y29" s="80" t="n"/>
    </row>
    <row r="30">
      <c r="A30" s="80" t="n"/>
      <c r="B30" s="138" t="n"/>
      <c r="C30" s="80" t="n"/>
      <c r="D30" s="80" t="n"/>
      <c r="E30" s="80" t="n"/>
      <c r="F30" s="80" t="n"/>
      <c r="G30" s="80" t="n"/>
      <c r="H30" s="80" t="n"/>
      <c r="I30" s="80" t="n"/>
      <c r="J30" s="80" t="n"/>
      <c r="K30" s="82">
        <f>IF($J30="","",IFERROR(VLOOKUP($J30,'Base Settings'!$A$13:$K$19,2,FALSE),""))</f>
        <v/>
      </c>
      <c r="L30" s="139" t="n"/>
      <c r="M30" s="139" t="n"/>
      <c r="N30" s="140">
        <f>IF(OR($L30="",$M30=""),"",MAX(0,$L30-$M30))</f>
        <v/>
      </c>
      <c r="O30" s="140">
        <f>IF($J30="","",IFERROR(VLOOKUP($J30,'Base Settings'!$A$13:$K$19,3,FALSE),0))</f>
        <v/>
      </c>
      <c r="P30" s="140">
        <f>IF($N30="","",$N30*$O30)</f>
        <v/>
      </c>
      <c r="Q30" s="139" t="n"/>
      <c r="R30" s="139" t="n"/>
      <c r="S30" s="139" t="n"/>
      <c r="T30" s="139" t="n"/>
      <c r="U30" s="140">
        <f>IF($J30="","",IFERROR($N30*VLOOKUP($J30,'Base Settings'!$A$13:$K$19,4,FALSE),0))</f>
        <v/>
      </c>
      <c r="V30" s="140">
        <f>IFERROR($N30/$S30,"")</f>
        <v/>
      </c>
      <c r="W30" s="140">
        <f>IFERROR($N30/$T30,"")</f>
        <v/>
      </c>
      <c r="X30" s="80" t="n"/>
      <c r="Y30" s="80" t="n"/>
    </row>
    <row r="31">
      <c r="A31" s="80" t="n"/>
      <c r="B31" s="138" t="n"/>
      <c r="C31" s="80" t="n"/>
      <c r="D31" s="80" t="n"/>
      <c r="E31" s="80" t="n"/>
      <c r="F31" s="80" t="n"/>
      <c r="G31" s="80" t="n"/>
      <c r="H31" s="80" t="n"/>
      <c r="I31" s="80" t="n"/>
      <c r="J31" s="80" t="n"/>
      <c r="K31" s="82">
        <f>IF($J31="","",IFERROR(VLOOKUP($J31,'Base Settings'!$A$13:$K$19,2,FALSE),""))</f>
        <v/>
      </c>
      <c r="L31" s="139" t="n"/>
      <c r="M31" s="139" t="n"/>
      <c r="N31" s="140">
        <f>IF(OR($L31="",$M31=""),"",MAX(0,$L31-$M31))</f>
        <v/>
      </c>
      <c r="O31" s="140">
        <f>IF($J31="","",IFERROR(VLOOKUP($J31,'Base Settings'!$A$13:$K$19,3,FALSE),0))</f>
        <v/>
      </c>
      <c r="P31" s="140">
        <f>IF($N31="","",$N31*$O31)</f>
        <v/>
      </c>
      <c r="Q31" s="139" t="n"/>
      <c r="R31" s="139" t="n"/>
      <c r="S31" s="139" t="n"/>
      <c r="T31" s="139" t="n"/>
      <c r="U31" s="140">
        <f>IF($J31="","",IFERROR($N31*VLOOKUP($J31,'Base Settings'!$A$13:$K$19,4,FALSE),0))</f>
        <v/>
      </c>
      <c r="V31" s="140">
        <f>IFERROR($N31/$S31,"")</f>
        <v/>
      </c>
      <c r="W31" s="140">
        <f>IFERROR($N31/$T31,"")</f>
        <v/>
      </c>
      <c r="X31" s="80" t="n"/>
      <c r="Y31" s="80" t="n"/>
    </row>
    <row r="32">
      <c r="A32" s="80" t="n"/>
      <c r="B32" s="138" t="n"/>
      <c r="C32" s="80" t="n"/>
      <c r="D32" s="80" t="n"/>
      <c r="E32" s="80" t="n"/>
      <c r="F32" s="80" t="n"/>
      <c r="G32" s="80" t="n"/>
      <c r="H32" s="80" t="n"/>
      <c r="I32" s="80" t="n"/>
      <c r="J32" s="80" t="n"/>
      <c r="K32" s="82">
        <f>IF($J32="","",IFERROR(VLOOKUP($J32,'Base Settings'!$A$13:$K$19,2,FALSE),""))</f>
        <v/>
      </c>
      <c r="L32" s="139" t="n"/>
      <c r="M32" s="139" t="n"/>
      <c r="N32" s="140">
        <f>IF(OR($L32="",$M32=""),"",MAX(0,$L32-$M32))</f>
        <v/>
      </c>
      <c r="O32" s="140">
        <f>IF($J32="","",IFERROR(VLOOKUP($J32,'Base Settings'!$A$13:$K$19,3,FALSE),0))</f>
        <v/>
      </c>
      <c r="P32" s="140">
        <f>IF($N32="","",$N32*$O32)</f>
        <v/>
      </c>
      <c r="Q32" s="139" t="n"/>
      <c r="R32" s="139" t="n"/>
      <c r="S32" s="139" t="n"/>
      <c r="T32" s="139" t="n"/>
      <c r="U32" s="140">
        <f>IF($J32="","",IFERROR($N32*VLOOKUP($J32,'Base Settings'!$A$13:$K$19,4,FALSE),0))</f>
        <v/>
      </c>
      <c r="V32" s="140">
        <f>IFERROR($N32/$S32,"")</f>
        <v/>
      </c>
      <c r="W32" s="140">
        <f>IFERROR($N32/$T32,"")</f>
        <v/>
      </c>
      <c r="X32" s="80" t="n"/>
      <c r="Y32" s="80" t="n"/>
    </row>
    <row r="33">
      <c r="A33" s="80" t="n"/>
      <c r="B33" s="138" t="n"/>
      <c r="C33" s="80" t="n"/>
      <c r="D33" s="80" t="n"/>
      <c r="E33" s="80" t="n"/>
      <c r="F33" s="80" t="n"/>
      <c r="G33" s="80" t="n"/>
      <c r="H33" s="80" t="n"/>
      <c r="I33" s="80" t="n"/>
      <c r="J33" s="80" t="n"/>
      <c r="K33" s="82">
        <f>IF($J33="","",IFERROR(VLOOKUP($J33,'Base Settings'!$A$13:$K$19,2,FALSE),""))</f>
        <v/>
      </c>
      <c r="L33" s="139" t="n"/>
      <c r="M33" s="139" t="n"/>
      <c r="N33" s="140">
        <f>IF(OR($L33="",$M33=""),"",MAX(0,$L33-$M33))</f>
        <v/>
      </c>
      <c r="O33" s="140">
        <f>IF($J33="","",IFERROR(VLOOKUP($J33,'Base Settings'!$A$13:$K$19,3,FALSE),0))</f>
        <v/>
      </c>
      <c r="P33" s="140">
        <f>IF($N33="","",$N33*$O33)</f>
        <v/>
      </c>
      <c r="Q33" s="139" t="n"/>
      <c r="R33" s="139" t="n"/>
      <c r="S33" s="139" t="n"/>
      <c r="T33" s="139" t="n"/>
      <c r="U33" s="140">
        <f>IF($J33="","",IFERROR($N33*VLOOKUP($J33,'Base Settings'!$A$13:$K$19,4,FALSE),0))</f>
        <v/>
      </c>
      <c r="V33" s="140">
        <f>IFERROR($N33/$S33,"")</f>
        <v/>
      </c>
      <c r="W33" s="140">
        <f>IFERROR($N33/$T33,"")</f>
        <v/>
      </c>
      <c r="X33" s="80" t="n"/>
      <c r="Y33" s="80" t="n"/>
    </row>
    <row r="34">
      <c r="A34" s="80" t="n"/>
      <c r="B34" s="138" t="n"/>
      <c r="C34" s="80" t="n"/>
      <c r="D34" s="80" t="n"/>
      <c r="E34" s="80" t="n"/>
      <c r="F34" s="80" t="n"/>
      <c r="G34" s="80" t="n"/>
      <c r="H34" s="80" t="n"/>
      <c r="I34" s="80" t="n"/>
      <c r="J34" s="80" t="n"/>
      <c r="K34" s="82">
        <f>IF($J34="","",IFERROR(VLOOKUP($J34,'Base Settings'!$A$13:$K$19,2,FALSE),""))</f>
        <v/>
      </c>
      <c r="L34" s="139" t="n"/>
      <c r="M34" s="139" t="n"/>
      <c r="N34" s="140">
        <f>IF(OR($L34="",$M34=""),"",MAX(0,$L34-$M34))</f>
        <v/>
      </c>
      <c r="O34" s="140">
        <f>IF($J34="","",IFERROR(VLOOKUP($J34,'Base Settings'!$A$13:$K$19,3,FALSE),0))</f>
        <v/>
      </c>
      <c r="P34" s="140">
        <f>IF($N34="","",$N34*$O34)</f>
        <v/>
      </c>
      <c r="Q34" s="139" t="n"/>
      <c r="R34" s="139" t="n"/>
      <c r="S34" s="139" t="n"/>
      <c r="T34" s="139" t="n"/>
      <c r="U34" s="140">
        <f>IF($J34="","",IFERROR($N34*VLOOKUP($J34,'Base Settings'!$A$13:$K$19,4,FALSE),0))</f>
        <v/>
      </c>
      <c r="V34" s="140">
        <f>IFERROR($N34/$S34,"")</f>
        <v/>
      </c>
      <c r="W34" s="140">
        <f>IFERROR($N34/$T34,"")</f>
        <v/>
      </c>
      <c r="X34" s="80" t="n"/>
      <c r="Y34" s="80" t="n"/>
    </row>
    <row r="35">
      <c r="A35" s="80" t="n"/>
      <c r="B35" s="138" t="n"/>
      <c r="C35" s="80" t="n"/>
      <c r="D35" s="80" t="n"/>
      <c r="E35" s="80" t="n"/>
      <c r="F35" s="80" t="n"/>
      <c r="G35" s="80" t="n"/>
      <c r="H35" s="80" t="n"/>
      <c r="I35" s="80" t="n"/>
      <c r="J35" s="80" t="n"/>
      <c r="K35" s="82">
        <f>IF($J35="","",IFERROR(VLOOKUP($J35,'Base Settings'!$A$13:$K$19,2,FALSE),""))</f>
        <v/>
      </c>
      <c r="L35" s="139" t="n"/>
      <c r="M35" s="139" t="n"/>
      <c r="N35" s="140">
        <f>IF(OR($L35="",$M35=""),"",MAX(0,$L35-$M35))</f>
        <v/>
      </c>
      <c r="O35" s="140">
        <f>IF($J35="","",IFERROR(VLOOKUP($J35,'Base Settings'!$A$13:$K$19,3,FALSE),0))</f>
        <v/>
      </c>
      <c r="P35" s="140">
        <f>IF($N35="","",$N35*$O35)</f>
        <v/>
      </c>
      <c r="Q35" s="139" t="n"/>
      <c r="R35" s="139" t="n"/>
      <c r="S35" s="139" t="n"/>
      <c r="T35" s="139" t="n"/>
      <c r="U35" s="140">
        <f>IF($J35="","",IFERROR($N35*VLOOKUP($J35,'Base Settings'!$A$13:$K$19,4,FALSE),0))</f>
        <v/>
      </c>
      <c r="V35" s="140">
        <f>IFERROR($N35/$S35,"")</f>
        <v/>
      </c>
      <c r="W35" s="140">
        <f>IFERROR($N35/$T35,"")</f>
        <v/>
      </c>
      <c r="X35" s="80" t="n"/>
      <c r="Y35" s="80" t="n"/>
    </row>
    <row r="36">
      <c r="A36" s="80" t="n"/>
      <c r="B36" s="138" t="n"/>
      <c r="C36" s="80" t="n"/>
      <c r="D36" s="80" t="n"/>
      <c r="E36" s="80" t="n"/>
      <c r="F36" s="80" t="n"/>
      <c r="G36" s="80" t="n"/>
      <c r="H36" s="80" t="n"/>
      <c r="I36" s="80" t="n"/>
      <c r="J36" s="80" t="n"/>
      <c r="K36" s="82">
        <f>IF($J36="","",IFERROR(VLOOKUP($J36,'Base Settings'!$A$13:$K$19,2,FALSE),""))</f>
        <v/>
      </c>
      <c r="L36" s="139" t="n"/>
      <c r="M36" s="139" t="n"/>
      <c r="N36" s="140">
        <f>IF(OR($L36="",$M36=""),"",MAX(0,$L36-$M36))</f>
        <v/>
      </c>
      <c r="O36" s="140">
        <f>IF($J36="","",IFERROR(VLOOKUP($J36,'Base Settings'!$A$13:$K$19,3,FALSE),0))</f>
        <v/>
      </c>
      <c r="P36" s="140">
        <f>IF($N36="","",$N36*$O36)</f>
        <v/>
      </c>
      <c r="Q36" s="139" t="n"/>
      <c r="R36" s="139" t="n"/>
      <c r="S36" s="139" t="n"/>
      <c r="T36" s="139" t="n"/>
      <c r="U36" s="140">
        <f>IF($J36="","",IFERROR($N36*VLOOKUP($J36,'Base Settings'!$A$13:$K$19,4,FALSE),0))</f>
        <v/>
      </c>
      <c r="V36" s="140">
        <f>IFERROR($N36/$S36,"")</f>
        <v/>
      </c>
      <c r="W36" s="140">
        <f>IFERROR($N36/$T36,"")</f>
        <v/>
      </c>
      <c r="X36" s="80" t="n"/>
      <c r="Y36" s="80" t="n"/>
    </row>
    <row r="37">
      <c r="A37" s="80" t="n"/>
      <c r="B37" s="138" t="n"/>
      <c r="C37" s="80" t="n"/>
      <c r="D37" s="80" t="n"/>
      <c r="E37" s="80" t="n"/>
      <c r="F37" s="80" t="n"/>
      <c r="G37" s="80" t="n"/>
      <c r="H37" s="80" t="n"/>
      <c r="I37" s="80" t="n"/>
      <c r="J37" s="80" t="n"/>
      <c r="K37" s="82">
        <f>IF($J37="","",IFERROR(VLOOKUP($J37,'Base Settings'!$A$13:$K$19,2,FALSE),""))</f>
        <v/>
      </c>
      <c r="L37" s="139" t="n"/>
      <c r="M37" s="139" t="n"/>
      <c r="N37" s="140">
        <f>IF(OR($L37="",$M37=""),"",MAX(0,$L37-$M37))</f>
        <v/>
      </c>
      <c r="O37" s="140">
        <f>IF($J37="","",IFERROR(VLOOKUP($J37,'Base Settings'!$A$13:$K$19,3,FALSE),0))</f>
        <v/>
      </c>
      <c r="P37" s="140">
        <f>IF($N37="","",$N37*$O37)</f>
        <v/>
      </c>
      <c r="Q37" s="139" t="n"/>
      <c r="R37" s="139" t="n"/>
      <c r="S37" s="139" t="n"/>
      <c r="T37" s="139" t="n"/>
      <c r="U37" s="140">
        <f>IF($J37="","",IFERROR($N37*VLOOKUP($J37,'Base Settings'!$A$13:$K$19,4,FALSE),0))</f>
        <v/>
      </c>
      <c r="V37" s="140">
        <f>IFERROR($N37/$S37,"")</f>
        <v/>
      </c>
      <c r="W37" s="140">
        <f>IFERROR($N37/$T37,"")</f>
        <v/>
      </c>
      <c r="X37" s="80" t="n"/>
      <c r="Y37" s="80" t="n"/>
    </row>
    <row r="38">
      <c r="A38" s="80" t="n"/>
      <c r="B38" s="138" t="n"/>
      <c r="C38" s="80" t="n"/>
      <c r="D38" s="80" t="n"/>
      <c r="E38" s="80" t="n"/>
      <c r="F38" s="80" t="n"/>
      <c r="G38" s="80" t="n"/>
      <c r="H38" s="80" t="n"/>
      <c r="I38" s="80" t="n"/>
      <c r="J38" s="80" t="n"/>
      <c r="K38" s="82">
        <f>IF($J38="","",IFERROR(VLOOKUP($J38,'Base Settings'!$A$13:$K$19,2,FALSE),""))</f>
        <v/>
      </c>
      <c r="L38" s="139" t="n"/>
      <c r="M38" s="139" t="n"/>
      <c r="N38" s="140">
        <f>IF(OR($L38="",$M38=""),"",MAX(0,$L38-$M38))</f>
        <v/>
      </c>
      <c r="O38" s="140">
        <f>IF($J38="","",IFERROR(VLOOKUP($J38,'Base Settings'!$A$13:$K$19,3,FALSE),0))</f>
        <v/>
      </c>
      <c r="P38" s="140">
        <f>IF($N38="","",$N38*$O38)</f>
        <v/>
      </c>
      <c r="Q38" s="139" t="n"/>
      <c r="R38" s="139" t="n"/>
      <c r="S38" s="139" t="n"/>
      <c r="T38" s="139" t="n"/>
      <c r="U38" s="140">
        <f>IF($J38="","",IFERROR($N38*VLOOKUP($J38,'Base Settings'!$A$13:$K$19,4,FALSE),0))</f>
        <v/>
      </c>
      <c r="V38" s="140">
        <f>IFERROR($N38/$S38,"")</f>
        <v/>
      </c>
      <c r="W38" s="140">
        <f>IFERROR($N38/$T38,"")</f>
        <v/>
      </c>
      <c r="X38" s="80" t="n"/>
      <c r="Y38" s="80" t="n"/>
    </row>
    <row r="39">
      <c r="A39" s="80" t="n"/>
      <c r="B39" s="138" t="n"/>
      <c r="C39" s="80" t="n"/>
      <c r="D39" s="80" t="n"/>
      <c r="E39" s="80" t="n"/>
      <c r="F39" s="80" t="n"/>
      <c r="G39" s="80" t="n"/>
      <c r="H39" s="80" t="n"/>
      <c r="I39" s="80" t="n"/>
      <c r="J39" s="80" t="n"/>
      <c r="K39" s="82">
        <f>IF($J39="","",IFERROR(VLOOKUP($J39,'Base Settings'!$A$13:$K$19,2,FALSE),""))</f>
        <v/>
      </c>
      <c r="L39" s="139" t="n"/>
      <c r="M39" s="139" t="n"/>
      <c r="N39" s="140">
        <f>IF(OR($L39="",$M39=""),"",MAX(0,$L39-$M39))</f>
        <v/>
      </c>
      <c r="O39" s="140">
        <f>IF($J39="","",IFERROR(VLOOKUP($J39,'Base Settings'!$A$13:$K$19,3,FALSE),0))</f>
        <v/>
      </c>
      <c r="P39" s="140">
        <f>IF($N39="","",$N39*$O39)</f>
        <v/>
      </c>
      <c r="Q39" s="139" t="n"/>
      <c r="R39" s="139" t="n"/>
      <c r="S39" s="139" t="n"/>
      <c r="T39" s="139" t="n"/>
      <c r="U39" s="140">
        <f>IF($J39="","",IFERROR($N39*VLOOKUP($J39,'Base Settings'!$A$13:$K$19,4,FALSE),0))</f>
        <v/>
      </c>
      <c r="V39" s="140">
        <f>IFERROR($N39/$S39,"")</f>
        <v/>
      </c>
      <c r="W39" s="140">
        <f>IFERROR($N39/$T39,"")</f>
        <v/>
      </c>
      <c r="X39" s="80" t="n"/>
      <c r="Y39" s="80" t="n"/>
    </row>
    <row r="40">
      <c r="A40" s="80" t="n"/>
      <c r="B40" s="138" t="n"/>
      <c r="C40" s="80" t="n"/>
      <c r="D40" s="80" t="n"/>
      <c r="E40" s="80" t="n"/>
      <c r="F40" s="80" t="n"/>
      <c r="G40" s="80" t="n"/>
      <c r="H40" s="80" t="n"/>
      <c r="I40" s="80" t="n"/>
      <c r="J40" s="80" t="n"/>
      <c r="K40" s="82">
        <f>IF($J40="","",IFERROR(VLOOKUP($J40,'Base Settings'!$A$13:$K$19,2,FALSE),""))</f>
        <v/>
      </c>
      <c r="L40" s="139" t="n"/>
      <c r="M40" s="139" t="n"/>
      <c r="N40" s="140">
        <f>IF(OR($L40="",$M40=""),"",MAX(0,$L40-$M40))</f>
        <v/>
      </c>
      <c r="O40" s="140">
        <f>IF($J40="","",IFERROR(VLOOKUP($J40,'Base Settings'!$A$13:$K$19,3,FALSE),0))</f>
        <v/>
      </c>
      <c r="P40" s="140">
        <f>IF($N40="","",$N40*$O40)</f>
        <v/>
      </c>
      <c r="Q40" s="139" t="n"/>
      <c r="R40" s="139" t="n"/>
      <c r="S40" s="139" t="n"/>
      <c r="T40" s="139" t="n"/>
      <c r="U40" s="140">
        <f>IF($J40="","",IFERROR($N40*VLOOKUP($J40,'Base Settings'!$A$13:$K$19,4,FALSE),0))</f>
        <v/>
      </c>
      <c r="V40" s="140">
        <f>IFERROR($N40/$S40,"")</f>
        <v/>
      </c>
      <c r="W40" s="140">
        <f>IFERROR($N40/$T40,"")</f>
        <v/>
      </c>
      <c r="X40" s="80" t="n"/>
      <c r="Y40" s="80" t="n"/>
    </row>
    <row r="41">
      <c r="A41" s="80" t="n"/>
      <c r="B41" s="138" t="n"/>
      <c r="C41" s="80" t="n"/>
      <c r="D41" s="80" t="n"/>
      <c r="E41" s="80" t="n"/>
      <c r="F41" s="80" t="n"/>
      <c r="G41" s="80" t="n"/>
      <c r="H41" s="80" t="n"/>
      <c r="I41" s="80" t="n"/>
      <c r="J41" s="80" t="n"/>
      <c r="K41" s="82">
        <f>IF($J41="","",IFERROR(VLOOKUP($J41,'Base Settings'!$A$13:$K$19,2,FALSE),""))</f>
        <v/>
      </c>
      <c r="L41" s="139" t="n"/>
      <c r="M41" s="139" t="n"/>
      <c r="N41" s="140">
        <f>IF(OR($L41="",$M41=""),"",MAX(0,$L41-$M41))</f>
        <v/>
      </c>
      <c r="O41" s="140">
        <f>IF($J41="","",IFERROR(VLOOKUP($J41,'Base Settings'!$A$13:$K$19,3,FALSE),0))</f>
        <v/>
      </c>
      <c r="P41" s="140">
        <f>IF($N41="","",$N41*$O41)</f>
        <v/>
      </c>
      <c r="Q41" s="139" t="n"/>
      <c r="R41" s="139" t="n"/>
      <c r="S41" s="139" t="n"/>
      <c r="T41" s="139" t="n"/>
      <c r="U41" s="140">
        <f>IF($J41="","",IFERROR($N41*VLOOKUP($J41,'Base Settings'!$A$13:$K$19,4,FALSE),0))</f>
        <v/>
      </c>
      <c r="V41" s="140">
        <f>IFERROR($N41/$S41,"")</f>
        <v/>
      </c>
      <c r="W41" s="140">
        <f>IFERROR($N41/$T41,"")</f>
        <v/>
      </c>
      <c r="X41" s="80" t="n"/>
      <c r="Y41" s="80" t="n"/>
    </row>
    <row r="42">
      <c r="A42" s="80" t="n"/>
      <c r="B42" s="138" t="n"/>
      <c r="C42" s="80" t="n"/>
      <c r="D42" s="80" t="n"/>
      <c r="E42" s="80" t="n"/>
      <c r="F42" s="80" t="n"/>
      <c r="G42" s="80" t="n"/>
      <c r="H42" s="80" t="n"/>
      <c r="I42" s="80" t="n"/>
      <c r="J42" s="80" t="n"/>
      <c r="K42" s="82">
        <f>IF($J42="","",IFERROR(VLOOKUP($J42,'Base Settings'!$A$13:$K$19,2,FALSE),""))</f>
        <v/>
      </c>
      <c r="L42" s="139" t="n"/>
      <c r="M42" s="139" t="n"/>
      <c r="N42" s="140">
        <f>IF(OR($L42="",$M42=""),"",MAX(0,$L42-$M42))</f>
        <v/>
      </c>
      <c r="O42" s="140">
        <f>IF($J42="","",IFERROR(VLOOKUP($J42,'Base Settings'!$A$13:$K$19,3,FALSE),0))</f>
        <v/>
      </c>
      <c r="P42" s="140">
        <f>IF($N42="","",$N42*$O42)</f>
        <v/>
      </c>
      <c r="Q42" s="139" t="n"/>
      <c r="R42" s="139" t="n"/>
      <c r="S42" s="139" t="n"/>
      <c r="T42" s="139" t="n"/>
      <c r="U42" s="140">
        <f>IF($J42="","",IFERROR($N42*VLOOKUP($J42,'Base Settings'!$A$13:$K$19,4,FALSE),0))</f>
        <v/>
      </c>
      <c r="V42" s="140">
        <f>IFERROR($N42/$S42,"")</f>
        <v/>
      </c>
      <c r="W42" s="140">
        <f>IFERROR($N42/$T42,"")</f>
        <v/>
      </c>
      <c r="X42" s="80" t="n"/>
      <c r="Y42" s="80" t="n"/>
    </row>
    <row r="43">
      <c r="A43" s="80" t="n"/>
      <c r="B43" s="138" t="n"/>
      <c r="C43" s="80" t="n"/>
      <c r="D43" s="80" t="n"/>
      <c r="E43" s="80" t="n"/>
      <c r="F43" s="80" t="n"/>
      <c r="G43" s="80" t="n"/>
      <c r="H43" s="80" t="n"/>
      <c r="I43" s="80" t="n"/>
      <c r="J43" s="80" t="n"/>
      <c r="K43" s="82">
        <f>IF($J43="","",IFERROR(VLOOKUP($J43,'Base Settings'!$A$13:$K$19,2,FALSE),""))</f>
        <v/>
      </c>
      <c r="L43" s="139" t="n"/>
      <c r="M43" s="139" t="n"/>
      <c r="N43" s="140">
        <f>IF(OR($L43="",$M43=""),"",MAX(0,$L43-$M43))</f>
        <v/>
      </c>
      <c r="O43" s="140">
        <f>IF($J43="","",IFERROR(VLOOKUP($J43,'Base Settings'!$A$13:$K$19,3,FALSE),0))</f>
        <v/>
      </c>
      <c r="P43" s="140">
        <f>IF($N43="","",$N43*$O43)</f>
        <v/>
      </c>
      <c r="Q43" s="139" t="n"/>
      <c r="R43" s="139" t="n"/>
      <c r="S43" s="139" t="n"/>
      <c r="T43" s="139" t="n"/>
      <c r="U43" s="140">
        <f>IF($J43="","",IFERROR($N43*VLOOKUP($J43,'Base Settings'!$A$13:$K$19,4,FALSE),0))</f>
        <v/>
      </c>
      <c r="V43" s="140">
        <f>IFERROR($N43/$S43,"")</f>
        <v/>
      </c>
      <c r="W43" s="140">
        <f>IFERROR($N43/$T43,"")</f>
        <v/>
      </c>
      <c r="X43" s="80" t="n"/>
      <c r="Y43" s="80" t="n"/>
    </row>
    <row r="44">
      <c r="A44" s="80" t="n"/>
      <c r="B44" s="138" t="n"/>
      <c r="C44" s="80" t="n"/>
      <c r="D44" s="80" t="n"/>
      <c r="E44" s="80" t="n"/>
      <c r="F44" s="80" t="n"/>
      <c r="G44" s="80" t="n"/>
      <c r="H44" s="80" t="n"/>
      <c r="I44" s="80" t="n"/>
      <c r="J44" s="80" t="n"/>
      <c r="K44" s="82">
        <f>IF($J44="","",IFERROR(VLOOKUP($J44,'Base Settings'!$A$13:$K$19,2,FALSE),""))</f>
        <v/>
      </c>
      <c r="L44" s="139" t="n"/>
      <c r="M44" s="139" t="n"/>
      <c r="N44" s="140">
        <f>IF(OR($L44="",$M44=""),"",MAX(0,$L44-$M44))</f>
        <v/>
      </c>
      <c r="O44" s="140">
        <f>IF($J44="","",IFERROR(VLOOKUP($J44,'Base Settings'!$A$13:$K$19,3,FALSE),0))</f>
        <v/>
      </c>
      <c r="P44" s="140">
        <f>IF($N44="","",$N44*$O44)</f>
        <v/>
      </c>
      <c r="Q44" s="139" t="n"/>
      <c r="R44" s="139" t="n"/>
      <c r="S44" s="139" t="n"/>
      <c r="T44" s="139" t="n"/>
      <c r="U44" s="140">
        <f>IF($J44="","",IFERROR($N44*VLOOKUP($J44,'Base Settings'!$A$13:$K$19,4,FALSE),0))</f>
        <v/>
      </c>
      <c r="V44" s="140">
        <f>IFERROR($N44/$S44,"")</f>
        <v/>
      </c>
      <c r="W44" s="140">
        <f>IFERROR($N44/$T44,"")</f>
        <v/>
      </c>
      <c r="X44" s="80" t="n"/>
      <c r="Y44" s="80" t="n"/>
    </row>
    <row r="45">
      <c r="A45" s="80" t="n"/>
      <c r="B45" s="138" t="n"/>
      <c r="C45" s="80" t="n"/>
      <c r="D45" s="80" t="n"/>
      <c r="E45" s="80" t="n"/>
      <c r="F45" s="80" t="n"/>
      <c r="G45" s="80" t="n"/>
      <c r="H45" s="80" t="n"/>
      <c r="I45" s="80" t="n"/>
      <c r="J45" s="80" t="n"/>
      <c r="K45" s="82">
        <f>IF($J45="","",IFERROR(VLOOKUP($J45,'Base Settings'!$A$13:$K$19,2,FALSE),""))</f>
        <v/>
      </c>
      <c r="L45" s="139" t="n"/>
      <c r="M45" s="139" t="n"/>
      <c r="N45" s="140">
        <f>IF(OR($L45="",$M45=""),"",MAX(0,$L45-$M45))</f>
        <v/>
      </c>
      <c r="O45" s="140">
        <f>IF($J45="","",IFERROR(VLOOKUP($J45,'Base Settings'!$A$13:$K$19,3,FALSE),0))</f>
        <v/>
      </c>
      <c r="P45" s="140">
        <f>IF($N45="","",$N45*$O45)</f>
        <v/>
      </c>
      <c r="Q45" s="139" t="n"/>
      <c r="R45" s="139" t="n"/>
      <c r="S45" s="139" t="n"/>
      <c r="T45" s="139" t="n"/>
      <c r="U45" s="140">
        <f>IF($J45="","",IFERROR($N45*VLOOKUP($J45,'Base Settings'!$A$13:$K$19,4,FALSE),0))</f>
        <v/>
      </c>
      <c r="V45" s="140">
        <f>IFERROR($N45/$S45,"")</f>
        <v/>
      </c>
      <c r="W45" s="140">
        <f>IFERROR($N45/$T45,"")</f>
        <v/>
      </c>
      <c r="X45" s="80" t="n"/>
      <c r="Y45" s="80" t="n"/>
    </row>
    <row r="46">
      <c r="A46" s="80" t="n"/>
      <c r="B46" s="138" t="n"/>
      <c r="C46" s="80" t="n"/>
      <c r="D46" s="80" t="n"/>
      <c r="E46" s="80" t="n"/>
      <c r="F46" s="80" t="n"/>
      <c r="G46" s="80" t="n"/>
      <c r="H46" s="80" t="n"/>
      <c r="I46" s="80" t="n"/>
      <c r="J46" s="80" t="n"/>
      <c r="K46" s="82">
        <f>IF($J46="","",IFERROR(VLOOKUP($J46,'Base Settings'!$A$13:$K$19,2,FALSE),""))</f>
        <v/>
      </c>
      <c r="L46" s="139" t="n"/>
      <c r="M46" s="139" t="n"/>
      <c r="N46" s="140">
        <f>IF(OR($L46="",$M46=""),"",MAX(0,$L46-$M46))</f>
        <v/>
      </c>
      <c r="O46" s="140">
        <f>IF($J46="","",IFERROR(VLOOKUP($J46,'Base Settings'!$A$13:$K$19,3,FALSE),0))</f>
        <v/>
      </c>
      <c r="P46" s="140">
        <f>IF($N46="","",$N46*$O46)</f>
        <v/>
      </c>
      <c r="Q46" s="139" t="n"/>
      <c r="R46" s="139" t="n"/>
      <c r="S46" s="139" t="n"/>
      <c r="T46" s="139" t="n"/>
      <c r="U46" s="140">
        <f>IF($J46="","",IFERROR($N46*VLOOKUP($J46,'Base Settings'!$A$13:$K$19,4,FALSE),0))</f>
        <v/>
      </c>
      <c r="V46" s="140">
        <f>IFERROR($N46/$S46,"")</f>
        <v/>
      </c>
      <c r="W46" s="140">
        <f>IFERROR($N46/$T46,"")</f>
        <v/>
      </c>
      <c r="X46" s="80" t="n"/>
      <c r="Y46" s="80" t="n"/>
    </row>
    <row r="47">
      <c r="A47" s="80" t="n"/>
      <c r="B47" s="138" t="n"/>
      <c r="C47" s="80" t="n"/>
      <c r="D47" s="80" t="n"/>
      <c r="E47" s="80" t="n"/>
      <c r="F47" s="80" t="n"/>
      <c r="G47" s="80" t="n"/>
      <c r="H47" s="80" t="n"/>
      <c r="I47" s="80" t="n"/>
      <c r="J47" s="80" t="n"/>
      <c r="K47" s="82">
        <f>IF($J47="","",IFERROR(VLOOKUP($J47,'Base Settings'!$A$13:$K$19,2,FALSE),""))</f>
        <v/>
      </c>
      <c r="L47" s="139" t="n"/>
      <c r="M47" s="139" t="n"/>
      <c r="N47" s="140">
        <f>IF(OR($L47="",$M47=""),"",MAX(0,$L47-$M47))</f>
        <v/>
      </c>
      <c r="O47" s="140">
        <f>IF($J47="","",IFERROR(VLOOKUP($J47,'Base Settings'!$A$13:$K$19,3,FALSE),0))</f>
        <v/>
      </c>
      <c r="P47" s="140">
        <f>IF($N47="","",$N47*$O47)</f>
        <v/>
      </c>
      <c r="Q47" s="139" t="n"/>
      <c r="R47" s="139" t="n"/>
      <c r="S47" s="139" t="n"/>
      <c r="T47" s="139" t="n"/>
      <c r="U47" s="140">
        <f>IF($J47="","",IFERROR($N47*VLOOKUP($J47,'Base Settings'!$A$13:$K$19,4,FALSE),0))</f>
        <v/>
      </c>
      <c r="V47" s="140">
        <f>IFERROR($N47/$S47,"")</f>
        <v/>
      </c>
      <c r="W47" s="140">
        <f>IFERROR($N47/$T47,"")</f>
        <v/>
      </c>
      <c r="X47" s="80" t="n"/>
      <c r="Y47" s="80" t="n"/>
    </row>
    <row r="48">
      <c r="A48" s="80" t="n"/>
      <c r="B48" s="138" t="n"/>
      <c r="C48" s="80" t="n"/>
      <c r="D48" s="80" t="n"/>
      <c r="E48" s="80" t="n"/>
      <c r="F48" s="80" t="n"/>
      <c r="G48" s="80" t="n"/>
      <c r="H48" s="80" t="n"/>
      <c r="I48" s="80" t="n"/>
      <c r="J48" s="80" t="n"/>
      <c r="K48" s="82">
        <f>IF($J48="","",IFERROR(VLOOKUP($J48,'Base Settings'!$A$13:$K$19,2,FALSE),""))</f>
        <v/>
      </c>
      <c r="L48" s="139" t="n"/>
      <c r="M48" s="139" t="n"/>
      <c r="N48" s="140">
        <f>IF(OR($L48="",$M48=""),"",MAX(0,$L48-$M48))</f>
        <v/>
      </c>
      <c r="O48" s="140">
        <f>IF($J48="","",IFERROR(VLOOKUP($J48,'Base Settings'!$A$13:$K$19,3,FALSE),0))</f>
        <v/>
      </c>
      <c r="P48" s="140">
        <f>IF($N48="","",$N48*$O48)</f>
        <v/>
      </c>
      <c r="Q48" s="139" t="n"/>
      <c r="R48" s="139" t="n"/>
      <c r="S48" s="139" t="n"/>
      <c r="T48" s="139" t="n"/>
      <c r="U48" s="140">
        <f>IF($J48="","",IFERROR($N48*VLOOKUP($J48,'Base Settings'!$A$13:$K$19,4,FALSE),0))</f>
        <v/>
      </c>
      <c r="V48" s="140">
        <f>IFERROR($N48/$S48,"")</f>
        <v/>
      </c>
      <c r="W48" s="140">
        <f>IFERROR($N48/$T48,"")</f>
        <v/>
      </c>
      <c r="X48" s="80" t="n"/>
      <c r="Y48" s="80" t="n"/>
    </row>
    <row r="49">
      <c r="A49" s="80" t="n"/>
      <c r="B49" s="138" t="n"/>
      <c r="C49" s="80" t="n"/>
      <c r="D49" s="80" t="n"/>
      <c r="E49" s="80" t="n"/>
      <c r="F49" s="80" t="n"/>
      <c r="G49" s="80" t="n"/>
      <c r="H49" s="80" t="n"/>
      <c r="I49" s="80" t="n"/>
      <c r="J49" s="80" t="n"/>
      <c r="K49" s="82">
        <f>IF($J49="","",IFERROR(VLOOKUP($J49,'Base Settings'!$A$13:$K$19,2,FALSE),""))</f>
        <v/>
      </c>
      <c r="L49" s="139" t="n"/>
      <c r="M49" s="139" t="n"/>
      <c r="N49" s="140">
        <f>IF(OR($L49="",$M49=""),"",MAX(0,$L49-$M49))</f>
        <v/>
      </c>
      <c r="O49" s="140">
        <f>IF($J49="","",IFERROR(VLOOKUP($J49,'Base Settings'!$A$13:$K$19,3,FALSE),0))</f>
        <v/>
      </c>
      <c r="P49" s="140">
        <f>IF($N49="","",$N49*$O49)</f>
        <v/>
      </c>
      <c r="Q49" s="139" t="n"/>
      <c r="R49" s="139" t="n"/>
      <c r="S49" s="139" t="n"/>
      <c r="T49" s="139" t="n"/>
      <c r="U49" s="140">
        <f>IF($J49="","",IFERROR($N49*VLOOKUP($J49,'Base Settings'!$A$13:$K$19,4,FALSE),0))</f>
        <v/>
      </c>
      <c r="V49" s="140">
        <f>IFERROR($N49/$S49,"")</f>
        <v/>
      </c>
      <c r="W49" s="140">
        <f>IFERROR($N49/$T49,"")</f>
        <v/>
      </c>
      <c r="X49" s="80" t="n"/>
      <c r="Y49" s="80" t="n"/>
    </row>
    <row r="50">
      <c r="A50" s="80" t="n"/>
      <c r="B50" s="138" t="n"/>
      <c r="C50" s="80" t="n"/>
      <c r="D50" s="80" t="n"/>
      <c r="E50" s="80" t="n"/>
      <c r="F50" s="80" t="n"/>
      <c r="G50" s="80" t="n"/>
      <c r="H50" s="80" t="n"/>
      <c r="I50" s="80" t="n"/>
      <c r="J50" s="80" t="n"/>
      <c r="K50" s="82">
        <f>IF($J50="","",IFERROR(VLOOKUP($J50,'Base Settings'!$A$13:$K$19,2,FALSE),""))</f>
        <v/>
      </c>
      <c r="L50" s="139" t="n"/>
      <c r="M50" s="139" t="n"/>
      <c r="N50" s="140">
        <f>IF(OR($L50="",$M50=""),"",MAX(0,$L50-$M50))</f>
        <v/>
      </c>
      <c r="O50" s="140">
        <f>IF($J50="","",IFERROR(VLOOKUP($J50,'Base Settings'!$A$13:$K$19,3,FALSE),0))</f>
        <v/>
      </c>
      <c r="P50" s="140">
        <f>IF($N50="","",$N50*$O50)</f>
        <v/>
      </c>
      <c r="Q50" s="139" t="n"/>
      <c r="R50" s="139" t="n"/>
      <c r="S50" s="139" t="n"/>
      <c r="T50" s="139" t="n"/>
      <c r="U50" s="140">
        <f>IF($J50="","",IFERROR($N50*VLOOKUP($J50,'Base Settings'!$A$13:$K$19,4,FALSE),0))</f>
        <v/>
      </c>
      <c r="V50" s="140">
        <f>IFERROR($N50/$S50,"")</f>
        <v/>
      </c>
      <c r="W50" s="140">
        <f>IFERROR($N50/$T50,"")</f>
        <v/>
      </c>
      <c r="X50" s="80" t="n"/>
      <c r="Y50" s="80" t="n"/>
    </row>
    <row r="51">
      <c r="A51" s="80" t="n"/>
      <c r="B51" s="138" t="n"/>
      <c r="C51" s="80" t="n"/>
      <c r="D51" s="80" t="n"/>
      <c r="E51" s="80" t="n"/>
      <c r="F51" s="80" t="n"/>
      <c r="G51" s="80" t="n"/>
      <c r="H51" s="80" t="n"/>
      <c r="I51" s="80" t="n"/>
      <c r="J51" s="80" t="n"/>
      <c r="K51" s="82">
        <f>IF($J51="","",IFERROR(VLOOKUP($J51,'Base Settings'!$A$13:$K$19,2,FALSE),""))</f>
        <v/>
      </c>
      <c r="L51" s="139" t="n"/>
      <c r="M51" s="139" t="n"/>
      <c r="N51" s="140">
        <f>IF(OR($L51="",$M51=""),"",MAX(0,$L51-$M51))</f>
        <v/>
      </c>
      <c r="O51" s="140">
        <f>IF($J51="","",IFERROR(VLOOKUP($J51,'Base Settings'!$A$13:$K$19,3,FALSE),0))</f>
        <v/>
      </c>
      <c r="P51" s="140">
        <f>IF($N51="","",$N51*$O51)</f>
        <v/>
      </c>
      <c r="Q51" s="139" t="n"/>
      <c r="R51" s="139" t="n"/>
      <c r="S51" s="139" t="n"/>
      <c r="T51" s="139" t="n"/>
      <c r="U51" s="140">
        <f>IF($J51="","",IFERROR($N51*VLOOKUP($J51,'Base Settings'!$A$13:$K$19,4,FALSE),0))</f>
        <v/>
      </c>
      <c r="V51" s="140">
        <f>IFERROR($N51/$S51,"")</f>
        <v/>
      </c>
      <c r="W51" s="140">
        <f>IFERROR($N51/$T51,"")</f>
        <v/>
      </c>
      <c r="X51" s="80" t="n"/>
      <c r="Y51" s="80" t="n"/>
    </row>
    <row r="52">
      <c r="A52" s="80" t="n"/>
      <c r="B52" s="138" t="n"/>
      <c r="C52" s="80" t="n"/>
      <c r="D52" s="80" t="n"/>
      <c r="E52" s="80" t="n"/>
      <c r="F52" s="80" t="n"/>
      <c r="G52" s="80" t="n"/>
      <c r="H52" s="80" t="n"/>
      <c r="I52" s="80" t="n"/>
      <c r="J52" s="80" t="n"/>
      <c r="K52" s="82">
        <f>IF($J52="","",IFERROR(VLOOKUP($J52,'Base Settings'!$A$13:$K$19,2,FALSE),""))</f>
        <v/>
      </c>
      <c r="L52" s="139" t="n"/>
      <c r="M52" s="139" t="n"/>
      <c r="N52" s="140">
        <f>IF(OR($L52="",$M52=""),"",MAX(0,$L52-$M52))</f>
        <v/>
      </c>
      <c r="O52" s="140">
        <f>IF($J52="","",IFERROR(VLOOKUP($J52,'Base Settings'!$A$13:$K$19,3,FALSE),0))</f>
        <v/>
      </c>
      <c r="P52" s="140">
        <f>IF($N52="","",$N52*$O52)</f>
        <v/>
      </c>
      <c r="Q52" s="139" t="n"/>
      <c r="R52" s="139" t="n"/>
      <c r="S52" s="139" t="n"/>
      <c r="T52" s="139" t="n"/>
      <c r="U52" s="140">
        <f>IF($J52="","",IFERROR($N52*VLOOKUP($J52,'Base Settings'!$A$13:$K$19,4,FALSE),0))</f>
        <v/>
      </c>
      <c r="V52" s="140">
        <f>IFERROR($N52/$S52,"")</f>
        <v/>
      </c>
      <c r="W52" s="140">
        <f>IFERROR($N52/$T52,"")</f>
        <v/>
      </c>
      <c r="X52" s="80" t="n"/>
      <c r="Y52" s="80" t="n"/>
    </row>
    <row r="53">
      <c r="A53" s="80" t="n"/>
      <c r="B53" s="138" t="n"/>
      <c r="C53" s="80" t="n"/>
      <c r="D53" s="80" t="n"/>
      <c r="E53" s="80" t="n"/>
      <c r="F53" s="80" t="n"/>
      <c r="G53" s="80" t="n"/>
      <c r="H53" s="80" t="n"/>
      <c r="I53" s="80" t="n"/>
      <c r="J53" s="80" t="n"/>
      <c r="K53" s="82">
        <f>IF($J53="","",IFERROR(VLOOKUP($J53,'Base Settings'!$A$13:$K$19,2,FALSE),""))</f>
        <v/>
      </c>
      <c r="L53" s="139" t="n"/>
      <c r="M53" s="139" t="n"/>
      <c r="N53" s="140">
        <f>IF(OR($L53="",$M53=""),"",MAX(0,$L53-$M53))</f>
        <v/>
      </c>
      <c r="O53" s="140">
        <f>IF($J53="","",IFERROR(VLOOKUP($J53,'Base Settings'!$A$13:$K$19,3,FALSE),0))</f>
        <v/>
      </c>
      <c r="P53" s="140">
        <f>IF($N53="","",$N53*$O53)</f>
        <v/>
      </c>
      <c r="Q53" s="139" t="n"/>
      <c r="R53" s="139" t="n"/>
      <c r="S53" s="139" t="n"/>
      <c r="T53" s="139" t="n"/>
      <c r="U53" s="140">
        <f>IF($J53="","",IFERROR($N53*VLOOKUP($J53,'Base Settings'!$A$13:$K$19,4,FALSE),0))</f>
        <v/>
      </c>
      <c r="V53" s="140">
        <f>IFERROR($N53/$S53,"")</f>
        <v/>
      </c>
      <c r="W53" s="140">
        <f>IFERROR($N53/$T53,"")</f>
        <v/>
      </c>
      <c r="X53" s="80" t="n"/>
      <c r="Y53" s="80" t="n"/>
    </row>
    <row r="54">
      <c r="A54" s="80" t="n"/>
      <c r="B54" s="138" t="n"/>
      <c r="C54" s="80" t="n"/>
      <c r="D54" s="80" t="n"/>
      <c r="E54" s="80" t="n"/>
      <c r="F54" s="80" t="n"/>
      <c r="G54" s="80" t="n"/>
      <c r="H54" s="80" t="n"/>
      <c r="I54" s="80" t="n"/>
      <c r="J54" s="80" t="n"/>
      <c r="K54" s="82">
        <f>IF($J54="","",IFERROR(VLOOKUP($J54,'Base Settings'!$A$13:$K$19,2,FALSE),""))</f>
        <v/>
      </c>
      <c r="L54" s="139" t="n"/>
      <c r="M54" s="139" t="n"/>
      <c r="N54" s="140">
        <f>IF(OR($L54="",$M54=""),"",MAX(0,$L54-$M54))</f>
        <v/>
      </c>
      <c r="O54" s="140">
        <f>IF($J54="","",IFERROR(VLOOKUP($J54,'Base Settings'!$A$13:$K$19,3,FALSE),0))</f>
        <v/>
      </c>
      <c r="P54" s="140">
        <f>IF($N54="","",$N54*$O54)</f>
        <v/>
      </c>
      <c r="Q54" s="139" t="n"/>
      <c r="R54" s="139" t="n"/>
      <c r="S54" s="139" t="n"/>
      <c r="T54" s="139" t="n"/>
      <c r="U54" s="140">
        <f>IF($J54="","",IFERROR($N54*VLOOKUP($J54,'Base Settings'!$A$13:$K$19,4,FALSE),0))</f>
        <v/>
      </c>
      <c r="V54" s="140">
        <f>IFERROR($N54/$S54,"")</f>
        <v/>
      </c>
      <c r="W54" s="140">
        <f>IFERROR($N54/$T54,"")</f>
        <v/>
      </c>
      <c r="X54" s="80" t="n"/>
      <c r="Y54" s="80" t="n"/>
    </row>
    <row r="55">
      <c r="A55" s="80" t="n"/>
      <c r="B55" s="138" t="n"/>
      <c r="C55" s="80" t="n"/>
      <c r="D55" s="80" t="n"/>
      <c r="E55" s="80" t="n"/>
      <c r="F55" s="80" t="n"/>
      <c r="G55" s="80" t="n"/>
      <c r="H55" s="80" t="n"/>
      <c r="I55" s="80" t="n"/>
      <c r="J55" s="80" t="n"/>
      <c r="K55" s="82">
        <f>IF($J55="","",IFERROR(VLOOKUP($J55,'Base Settings'!$A$13:$K$19,2,FALSE),""))</f>
        <v/>
      </c>
      <c r="L55" s="139" t="n"/>
      <c r="M55" s="139" t="n"/>
      <c r="N55" s="140">
        <f>IF(OR($L55="",$M55=""),"",MAX(0,$L55-$M55))</f>
        <v/>
      </c>
      <c r="O55" s="140">
        <f>IF($J55="","",IFERROR(VLOOKUP($J55,'Base Settings'!$A$13:$K$19,3,FALSE),0))</f>
        <v/>
      </c>
      <c r="P55" s="140">
        <f>IF($N55="","",$N55*$O55)</f>
        <v/>
      </c>
      <c r="Q55" s="139" t="n"/>
      <c r="R55" s="139" t="n"/>
      <c r="S55" s="139" t="n"/>
      <c r="T55" s="139" t="n"/>
      <c r="U55" s="140">
        <f>IF($J55="","",IFERROR($N55*VLOOKUP($J55,'Base Settings'!$A$13:$K$19,4,FALSE),0))</f>
        <v/>
      </c>
      <c r="V55" s="140">
        <f>IFERROR($N55/$S55,"")</f>
        <v/>
      </c>
      <c r="W55" s="140">
        <f>IFERROR($N55/$T55,"")</f>
        <v/>
      </c>
      <c r="X55" s="80" t="n"/>
      <c r="Y55" s="80" t="n"/>
    </row>
    <row r="56">
      <c r="A56" s="80" t="n"/>
      <c r="B56" s="138" t="n"/>
      <c r="C56" s="80" t="n"/>
      <c r="D56" s="80" t="n"/>
      <c r="E56" s="80" t="n"/>
      <c r="F56" s="80" t="n"/>
      <c r="G56" s="80" t="n"/>
      <c r="H56" s="80" t="n"/>
      <c r="I56" s="80" t="n"/>
      <c r="J56" s="80" t="n"/>
      <c r="K56" s="82">
        <f>IF($J56="","",IFERROR(VLOOKUP($J56,'Base Settings'!$A$13:$K$19,2,FALSE),""))</f>
        <v/>
      </c>
      <c r="L56" s="139" t="n"/>
      <c r="M56" s="139" t="n"/>
      <c r="N56" s="140">
        <f>IF(OR($L56="",$M56=""),"",MAX(0,$L56-$M56))</f>
        <v/>
      </c>
      <c r="O56" s="140">
        <f>IF($J56="","",IFERROR(VLOOKUP($J56,'Base Settings'!$A$13:$K$19,3,FALSE),0))</f>
        <v/>
      </c>
      <c r="P56" s="140">
        <f>IF($N56="","",$N56*$O56)</f>
        <v/>
      </c>
      <c r="Q56" s="139" t="n"/>
      <c r="R56" s="139" t="n"/>
      <c r="S56" s="139" t="n"/>
      <c r="T56" s="139" t="n"/>
      <c r="U56" s="140">
        <f>IF($J56="","",IFERROR($N56*VLOOKUP($J56,'Base Settings'!$A$13:$K$19,4,FALSE),0))</f>
        <v/>
      </c>
      <c r="V56" s="140">
        <f>IFERROR($N56/$S56,"")</f>
        <v/>
      </c>
      <c r="W56" s="140">
        <f>IFERROR($N56/$T56,"")</f>
        <v/>
      </c>
      <c r="X56" s="80" t="n"/>
      <c r="Y56" s="80" t="n"/>
    </row>
    <row r="57">
      <c r="A57" s="80" t="n"/>
      <c r="B57" s="138" t="n"/>
      <c r="C57" s="80" t="n"/>
      <c r="D57" s="80" t="n"/>
      <c r="E57" s="80" t="n"/>
      <c r="F57" s="80" t="n"/>
      <c r="G57" s="80" t="n"/>
      <c r="H57" s="80" t="n"/>
      <c r="I57" s="80" t="n"/>
      <c r="J57" s="80" t="n"/>
      <c r="K57" s="82">
        <f>IF($J57="","",IFERROR(VLOOKUP($J57,'Base Settings'!$A$13:$K$19,2,FALSE),""))</f>
        <v/>
      </c>
      <c r="L57" s="139" t="n"/>
      <c r="M57" s="139" t="n"/>
      <c r="N57" s="140">
        <f>IF(OR($L57="",$M57=""),"",MAX(0,$L57-$M57))</f>
        <v/>
      </c>
      <c r="O57" s="140">
        <f>IF($J57="","",IFERROR(VLOOKUP($J57,'Base Settings'!$A$13:$K$19,3,FALSE),0))</f>
        <v/>
      </c>
      <c r="P57" s="140">
        <f>IF($N57="","",$N57*$O57)</f>
        <v/>
      </c>
      <c r="Q57" s="139" t="n"/>
      <c r="R57" s="139" t="n"/>
      <c r="S57" s="139" t="n"/>
      <c r="T57" s="139" t="n"/>
      <c r="U57" s="140">
        <f>IF($J57="","",IFERROR($N57*VLOOKUP($J57,'Base Settings'!$A$13:$K$19,4,FALSE),0))</f>
        <v/>
      </c>
      <c r="V57" s="140">
        <f>IFERROR($N57/$S57,"")</f>
        <v/>
      </c>
      <c r="W57" s="140">
        <f>IFERROR($N57/$T57,"")</f>
        <v/>
      </c>
      <c r="X57" s="80" t="n"/>
      <c r="Y57" s="80" t="n"/>
    </row>
    <row r="58">
      <c r="A58" s="80" t="n"/>
      <c r="B58" s="138" t="n"/>
      <c r="C58" s="80" t="n"/>
      <c r="D58" s="80" t="n"/>
      <c r="E58" s="80" t="n"/>
      <c r="F58" s="80" t="n"/>
      <c r="G58" s="80" t="n"/>
      <c r="H58" s="80" t="n"/>
      <c r="I58" s="80" t="n"/>
      <c r="J58" s="80" t="n"/>
      <c r="K58" s="82">
        <f>IF($J58="","",IFERROR(VLOOKUP($J58,'Base Settings'!$A$13:$K$19,2,FALSE),""))</f>
        <v/>
      </c>
      <c r="L58" s="139" t="n"/>
      <c r="M58" s="139" t="n"/>
      <c r="N58" s="140">
        <f>IF(OR($L58="",$M58=""),"",MAX(0,$L58-$M58))</f>
        <v/>
      </c>
      <c r="O58" s="140">
        <f>IF($J58="","",IFERROR(VLOOKUP($J58,'Base Settings'!$A$13:$K$19,3,FALSE),0))</f>
        <v/>
      </c>
      <c r="P58" s="140">
        <f>IF($N58="","",$N58*$O58)</f>
        <v/>
      </c>
      <c r="Q58" s="139" t="n"/>
      <c r="R58" s="139" t="n"/>
      <c r="S58" s="139" t="n"/>
      <c r="T58" s="139" t="n"/>
      <c r="U58" s="140">
        <f>IF($J58="","",IFERROR($N58*VLOOKUP($J58,'Base Settings'!$A$13:$K$19,4,FALSE),0))</f>
        <v/>
      </c>
      <c r="V58" s="140">
        <f>IFERROR($N58/$S58,"")</f>
        <v/>
      </c>
      <c r="W58" s="140">
        <f>IFERROR($N58/$T58,"")</f>
        <v/>
      </c>
      <c r="X58" s="80" t="n"/>
      <c r="Y58" s="80" t="n"/>
    </row>
    <row r="59">
      <c r="A59" s="80" t="n"/>
      <c r="B59" s="138" t="n"/>
      <c r="C59" s="80" t="n"/>
      <c r="D59" s="80" t="n"/>
      <c r="E59" s="80" t="n"/>
      <c r="F59" s="80" t="n"/>
      <c r="G59" s="80" t="n"/>
      <c r="H59" s="80" t="n"/>
      <c r="I59" s="80" t="n"/>
      <c r="J59" s="80" t="n"/>
      <c r="K59" s="82">
        <f>IF($J59="","",IFERROR(VLOOKUP($J59,'Base Settings'!$A$13:$K$19,2,FALSE),""))</f>
        <v/>
      </c>
      <c r="L59" s="139" t="n"/>
      <c r="M59" s="139" t="n"/>
      <c r="N59" s="140">
        <f>IF(OR($L59="",$M59=""),"",MAX(0,$L59-$M59))</f>
        <v/>
      </c>
      <c r="O59" s="140">
        <f>IF($J59="","",IFERROR(VLOOKUP($J59,'Base Settings'!$A$13:$K$19,3,FALSE),0))</f>
        <v/>
      </c>
      <c r="P59" s="140">
        <f>IF($N59="","",$N59*$O59)</f>
        <v/>
      </c>
      <c r="Q59" s="139" t="n"/>
      <c r="R59" s="139" t="n"/>
      <c r="S59" s="139" t="n"/>
      <c r="T59" s="139" t="n"/>
      <c r="U59" s="140">
        <f>IF($J59="","",IFERROR($N59*VLOOKUP($J59,'Base Settings'!$A$13:$K$19,4,FALSE),0))</f>
        <v/>
      </c>
      <c r="V59" s="140">
        <f>IFERROR($N59/$S59,"")</f>
        <v/>
      </c>
      <c r="W59" s="140">
        <f>IFERROR($N59/$T59,"")</f>
        <v/>
      </c>
      <c r="X59" s="80" t="n"/>
      <c r="Y59" s="80" t="n"/>
    </row>
    <row r="60">
      <c r="A60" s="80" t="n"/>
      <c r="B60" s="138" t="n"/>
      <c r="C60" s="80" t="n"/>
      <c r="D60" s="80" t="n"/>
      <c r="E60" s="80" t="n"/>
      <c r="F60" s="80" t="n"/>
      <c r="G60" s="80" t="n"/>
      <c r="H60" s="80" t="n"/>
      <c r="I60" s="80" t="n"/>
      <c r="J60" s="80" t="n"/>
      <c r="K60" s="82">
        <f>IF($J60="","",IFERROR(VLOOKUP($J60,'Base Settings'!$A$13:$K$19,2,FALSE),""))</f>
        <v/>
      </c>
      <c r="L60" s="139" t="n"/>
      <c r="M60" s="139" t="n"/>
      <c r="N60" s="140">
        <f>IF(OR($L60="",$M60=""),"",MAX(0,$L60-$M60))</f>
        <v/>
      </c>
      <c r="O60" s="140">
        <f>IF($J60="","",IFERROR(VLOOKUP($J60,'Base Settings'!$A$13:$K$19,3,FALSE),0))</f>
        <v/>
      </c>
      <c r="P60" s="140">
        <f>IF($N60="","",$N60*$O60)</f>
        <v/>
      </c>
      <c r="Q60" s="139" t="n"/>
      <c r="R60" s="139" t="n"/>
      <c r="S60" s="139" t="n"/>
      <c r="T60" s="139" t="n"/>
      <c r="U60" s="140">
        <f>IF($J60="","",IFERROR($N60*VLOOKUP($J60,'Base Settings'!$A$13:$K$19,4,FALSE),0))</f>
        <v/>
      </c>
      <c r="V60" s="140">
        <f>IFERROR($N60/$S60,"")</f>
        <v/>
      </c>
      <c r="W60" s="140">
        <f>IFERROR($N60/$T60,"")</f>
        <v/>
      </c>
      <c r="X60" s="80" t="n"/>
      <c r="Y60" s="80" t="n"/>
    </row>
    <row r="61">
      <c r="A61" s="80" t="n"/>
      <c r="B61" s="138" t="n"/>
      <c r="C61" s="80" t="n"/>
      <c r="D61" s="80" t="n"/>
      <c r="E61" s="80" t="n"/>
      <c r="F61" s="80" t="n"/>
      <c r="G61" s="80" t="n"/>
      <c r="H61" s="80" t="n"/>
      <c r="I61" s="80" t="n"/>
      <c r="J61" s="80" t="n"/>
      <c r="K61" s="82">
        <f>IF($J61="","",IFERROR(VLOOKUP($J61,'Base Settings'!$A$13:$K$19,2,FALSE),""))</f>
        <v/>
      </c>
      <c r="L61" s="139" t="n"/>
      <c r="M61" s="139" t="n"/>
      <c r="N61" s="140">
        <f>IF(OR($L61="",$M61=""),"",MAX(0,$L61-$M61))</f>
        <v/>
      </c>
      <c r="O61" s="140">
        <f>IF($J61="","",IFERROR(VLOOKUP($J61,'Base Settings'!$A$13:$K$19,3,FALSE),0))</f>
        <v/>
      </c>
      <c r="P61" s="140">
        <f>IF($N61="","",$N61*$O61)</f>
        <v/>
      </c>
      <c r="Q61" s="139" t="n"/>
      <c r="R61" s="139" t="n"/>
      <c r="S61" s="139" t="n"/>
      <c r="T61" s="139" t="n"/>
      <c r="U61" s="140">
        <f>IF($J61="","",IFERROR($N61*VLOOKUP($J61,'Base Settings'!$A$13:$K$19,4,FALSE),0))</f>
        <v/>
      </c>
      <c r="V61" s="140">
        <f>IFERROR($N61/$S61,"")</f>
        <v/>
      </c>
      <c r="W61" s="140">
        <f>IFERROR($N61/$T61,"")</f>
        <v/>
      </c>
      <c r="X61" s="80" t="n"/>
      <c r="Y61" s="80" t="n"/>
    </row>
    <row r="62">
      <c r="A62" s="80" t="n"/>
      <c r="B62" s="138" t="n"/>
      <c r="C62" s="80" t="n"/>
      <c r="D62" s="80" t="n"/>
      <c r="E62" s="80" t="n"/>
      <c r="F62" s="80" t="n"/>
      <c r="G62" s="80" t="n"/>
      <c r="H62" s="80" t="n"/>
      <c r="I62" s="80" t="n"/>
      <c r="J62" s="80" t="n"/>
      <c r="K62" s="82">
        <f>IF($J62="","",IFERROR(VLOOKUP($J62,'Base Settings'!$A$13:$K$19,2,FALSE),""))</f>
        <v/>
      </c>
      <c r="L62" s="139" t="n"/>
      <c r="M62" s="139" t="n"/>
      <c r="N62" s="140">
        <f>IF(OR($L62="",$M62=""),"",MAX(0,$L62-$M62))</f>
        <v/>
      </c>
      <c r="O62" s="140">
        <f>IF($J62="","",IFERROR(VLOOKUP($J62,'Base Settings'!$A$13:$K$19,3,FALSE),0))</f>
        <v/>
      </c>
      <c r="P62" s="140">
        <f>IF($N62="","",$N62*$O62)</f>
        <v/>
      </c>
      <c r="Q62" s="139" t="n"/>
      <c r="R62" s="139" t="n"/>
      <c r="S62" s="139" t="n"/>
      <c r="T62" s="139" t="n"/>
      <c r="U62" s="140">
        <f>IF($J62="","",IFERROR($N62*VLOOKUP($J62,'Base Settings'!$A$13:$K$19,4,FALSE),0))</f>
        <v/>
      </c>
      <c r="V62" s="140">
        <f>IFERROR($N62/$S62,"")</f>
        <v/>
      </c>
      <c r="W62" s="140">
        <f>IFERROR($N62/$T62,"")</f>
        <v/>
      </c>
      <c r="X62" s="80" t="n"/>
      <c r="Y62" s="80" t="n"/>
    </row>
    <row r="63">
      <c r="A63" s="80" t="n"/>
      <c r="B63" s="138" t="n"/>
      <c r="C63" s="80" t="n"/>
      <c r="D63" s="80" t="n"/>
      <c r="E63" s="80" t="n"/>
      <c r="F63" s="80" t="n"/>
      <c r="G63" s="80" t="n"/>
      <c r="H63" s="80" t="n"/>
      <c r="I63" s="80" t="n"/>
      <c r="J63" s="80" t="n"/>
      <c r="K63" s="82">
        <f>IF($J63="","",IFERROR(VLOOKUP($J63,'Base Settings'!$A$13:$K$19,2,FALSE),""))</f>
        <v/>
      </c>
      <c r="L63" s="139" t="n"/>
      <c r="M63" s="139" t="n"/>
      <c r="N63" s="140">
        <f>IF(OR($L63="",$M63=""),"",MAX(0,$L63-$M63))</f>
        <v/>
      </c>
      <c r="O63" s="140">
        <f>IF($J63="","",IFERROR(VLOOKUP($J63,'Base Settings'!$A$13:$K$19,3,FALSE),0))</f>
        <v/>
      </c>
      <c r="P63" s="140">
        <f>IF($N63="","",$N63*$O63)</f>
        <v/>
      </c>
      <c r="Q63" s="139" t="n"/>
      <c r="R63" s="139" t="n"/>
      <c r="S63" s="139" t="n"/>
      <c r="T63" s="139" t="n"/>
      <c r="U63" s="140">
        <f>IF($J63="","",IFERROR($N63*VLOOKUP($J63,'Base Settings'!$A$13:$K$19,4,FALSE),0))</f>
        <v/>
      </c>
      <c r="V63" s="140">
        <f>IFERROR($N63/$S63,"")</f>
        <v/>
      </c>
      <c r="W63" s="140">
        <f>IFERROR($N63/$T63,"")</f>
        <v/>
      </c>
      <c r="X63" s="80" t="n"/>
      <c r="Y63" s="80" t="n"/>
    </row>
    <row r="64">
      <c r="A64" s="80" t="n"/>
      <c r="B64" s="138" t="n"/>
      <c r="C64" s="80" t="n"/>
      <c r="D64" s="80" t="n"/>
      <c r="E64" s="80" t="n"/>
      <c r="F64" s="80" t="n"/>
      <c r="G64" s="80" t="n"/>
      <c r="H64" s="80" t="n"/>
      <c r="I64" s="80" t="n"/>
      <c r="J64" s="80" t="n"/>
      <c r="K64" s="82">
        <f>IF($J64="","",IFERROR(VLOOKUP($J64,'Base Settings'!$A$13:$K$19,2,FALSE),""))</f>
        <v/>
      </c>
      <c r="L64" s="139" t="n"/>
      <c r="M64" s="139" t="n"/>
      <c r="N64" s="140">
        <f>IF(OR($L64="",$M64=""),"",MAX(0,$L64-$M64))</f>
        <v/>
      </c>
      <c r="O64" s="140">
        <f>IF($J64="","",IFERROR(VLOOKUP($J64,'Base Settings'!$A$13:$K$19,3,FALSE),0))</f>
        <v/>
      </c>
      <c r="P64" s="140">
        <f>IF($N64="","",$N64*$O64)</f>
        <v/>
      </c>
      <c r="Q64" s="139" t="n"/>
      <c r="R64" s="139" t="n"/>
      <c r="S64" s="139" t="n"/>
      <c r="T64" s="139" t="n"/>
      <c r="U64" s="140">
        <f>IF($J64="","",IFERROR($N64*VLOOKUP($J64,'Base Settings'!$A$13:$K$19,4,FALSE),0))</f>
        <v/>
      </c>
      <c r="V64" s="140">
        <f>IFERROR($N64/$S64,"")</f>
        <v/>
      </c>
      <c r="W64" s="140">
        <f>IFERROR($N64/$T64,"")</f>
        <v/>
      </c>
      <c r="X64" s="80" t="n"/>
      <c r="Y64" s="80" t="n"/>
    </row>
    <row r="65">
      <c r="A65" s="80" t="n"/>
      <c r="B65" s="138" t="n"/>
      <c r="C65" s="80" t="n"/>
      <c r="D65" s="80" t="n"/>
      <c r="E65" s="80" t="n"/>
      <c r="F65" s="80" t="n"/>
      <c r="G65" s="80" t="n"/>
      <c r="H65" s="80" t="n"/>
      <c r="I65" s="80" t="n"/>
      <c r="J65" s="80" t="n"/>
      <c r="K65" s="82">
        <f>IF($J65="","",IFERROR(VLOOKUP($J65,'Base Settings'!$A$13:$K$19,2,FALSE),""))</f>
        <v/>
      </c>
      <c r="L65" s="139" t="n"/>
      <c r="M65" s="139" t="n"/>
      <c r="N65" s="140">
        <f>IF(OR($L65="",$M65=""),"",MAX(0,$L65-$M65))</f>
        <v/>
      </c>
      <c r="O65" s="140">
        <f>IF($J65="","",IFERROR(VLOOKUP($J65,'Base Settings'!$A$13:$K$19,3,FALSE),0))</f>
        <v/>
      </c>
      <c r="P65" s="140">
        <f>IF($N65="","",$N65*$O65)</f>
        <v/>
      </c>
      <c r="Q65" s="139" t="n"/>
      <c r="R65" s="139" t="n"/>
      <c r="S65" s="139" t="n"/>
      <c r="T65" s="139" t="n"/>
      <c r="U65" s="140">
        <f>IF($J65="","",IFERROR($N65*VLOOKUP($J65,'Base Settings'!$A$13:$K$19,4,FALSE),0))</f>
        <v/>
      </c>
      <c r="V65" s="140">
        <f>IFERROR($N65/$S65,"")</f>
        <v/>
      </c>
      <c r="W65" s="140">
        <f>IFERROR($N65/$T65,"")</f>
        <v/>
      </c>
      <c r="X65" s="80" t="n"/>
      <c r="Y65" s="80" t="n"/>
    </row>
    <row r="66">
      <c r="A66" s="80" t="n"/>
      <c r="B66" s="138" t="n"/>
      <c r="C66" s="80" t="n"/>
      <c r="D66" s="80" t="n"/>
      <c r="E66" s="80" t="n"/>
      <c r="F66" s="80" t="n"/>
      <c r="G66" s="80" t="n"/>
      <c r="H66" s="80" t="n"/>
      <c r="I66" s="80" t="n"/>
      <c r="J66" s="80" t="n"/>
      <c r="K66" s="82">
        <f>IF($J66="","",IFERROR(VLOOKUP($J66,'Base Settings'!$A$13:$K$19,2,FALSE),""))</f>
        <v/>
      </c>
      <c r="L66" s="139" t="n"/>
      <c r="M66" s="139" t="n"/>
      <c r="N66" s="140">
        <f>IF(OR($L66="",$M66=""),"",MAX(0,$L66-$M66))</f>
        <v/>
      </c>
      <c r="O66" s="140">
        <f>IF($J66="","",IFERROR(VLOOKUP($J66,'Base Settings'!$A$13:$K$19,3,FALSE),0))</f>
        <v/>
      </c>
      <c r="P66" s="140">
        <f>IF($N66="","",$N66*$O66)</f>
        <v/>
      </c>
      <c r="Q66" s="139" t="n"/>
      <c r="R66" s="139" t="n"/>
      <c r="S66" s="139" t="n"/>
      <c r="T66" s="139" t="n"/>
      <c r="U66" s="140">
        <f>IF($J66="","",IFERROR($N66*VLOOKUP($J66,'Base Settings'!$A$13:$K$19,4,FALSE),0))</f>
        <v/>
      </c>
      <c r="V66" s="140">
        <f>IFERROR($N66/$S66,"")</f>
        <v/>
      </c>
      <c r="W66" s="140">
        <f>IFERROR($N66/$T66,"")</f>
        <v/>
      </c>
      <c r="X66" s="80" t="n"/>
      <c r="Y66" s="80" t="n"/>
    </row>
    <row r="67">
      <c r="A67" s="80" t="n"/>
      <c r="B67" s="138" t="n"/>
      <c r="C67" s="80" t="n"/>
      <c r="D67" s="80" t="n"/>
      <c r="E67" s="80" t="n"/>
      <c r="F67" s="80" t="n"/>
      <c r="G67" s="80" t="n"/>
      <c r="H67" s="80" t="n"/>
      <c r="I67" s="80" t="n"/>
      <c r="J67" s="80" t="n"/>
      <c r="K67" s="82">
        <f>IF($J67="","",IFERROR(VLOOKUP($J67,'Base Settings'!$A$13:$K$19,2,FALSE),""))</f>
        <v/>
      </c>
      <c r="L67" s="139" t="n"/>
      <c r="M67" s="139" t="n"/>
      <c r="N67" s="140">
        <f>IF(OR($L67="",$M67=""),"",MAX(0,$L67-$M67))</f>
        <v/>
      </c>
      <c r="O67" s="140">
        <f>IF($J67="","",IFERROR(VLOOKUP($J67,'Base Settings'!$A$13:$K$19,3,FALSE),0))</f>
        <v/>
      </c>
      <c r="P67" s="140">
        <f>IF($N67="","",$N67*$O67)</f>
        <v/>
      </c>
      <c r="Q67" s="139" t="n"/>
      <c r="R67" s="139" t="n"/>
      <c r="S67" s="139" t="n"/>
      <c r="T67" s="139" t="n"/>
      <c r="U67" s="140">
        <f>IF($J67="","",IFERROR($N67*VLOOKUP($J67,'Base Settings'!$A$13:$K$19,4,FALSE),0))</f>
        <v/>
      </c>
      <c r="V67" s="140">
        <f>IFERROR($N67/$S67,"")</f>
        <v/>
      </c>
      <c r="W67" s="140">
        <f>IFERROR($N67/$T67,"")</f>
        <v/>
      </c>
      <c r="X67" s="80" t="n"/>
      <c r="Y67" s="80" t="n"/>
    </row>
    <row r="68">
      <c r="A68" s="80" t="n"/>
      <c r="B68" s="138" t="n"/>
      <c r="C68" s="80" t="n"/>
      <c r="D68" s="80" t="n"/>
      <c r="E68" s="80" t="n"/>
      <c r="F68" s="80" t="n"/>
      <c r="G68" s="80" t="n"/>
      <c r="H68" s="80" t="n"/>
      <c r="I68" s="80" t="n"/>
      <c r="J68" s="80" t="n"/>
      <c r="K68" s="82">
        <f>IF($J68="","",IFERROR(VLOOKUP($J68,'Base Settings'!$A$13:$K$19,2,FALSE),""))</f>
        <v/>
      </c>
      <c r="L68" s="139" t="n"/>
      <c r="M68" s="139" t="n"/>
      <c r="N68" s="140">
        <f>IF(OR($L68="",$M68=""),"",MAX(0,$L68-$M68))</f>
        <v/>
      </c>
      <c r="O68" s="140">
        <f>IF($J68="","",IFERROR(VLOOKUP($J68,'Base Settings'!$A$13:$K$19,3,FALSE),0))</f>
        <v/>
      </c>
      <c r="P68" s="140">
        <f>IF($N68="","",$N68*$O68)</f>
        <v/>
      </c>
      <c r="Q68" s="139" t="n"/>
      <c r="R68" s="139" t="n"/>
      <c r="S68" s="139" t="n"/>
      <c r="T68" s="139" t="n"/>
      <c r="U68" s="140">
        <f>IF($J68="","",IFERROR($N68*VLOOKUP($J68,'Base Settings'!$A$13:$K$19,4,FALSE),0))</f>
        <v/>
      </c>
      <c r="V68" s="140">
        <f>IFERROR($N68/$S68,"")</f>
        <v/>
      </c>
      <c r="W68" s="140">
        <f>IFERROR($N68/$T68,"")</f>
        <v/>
      </c>
      <c r="X68" s="80" t="n"/>
      <c r="Y68" s="80" t="n"/>
    </row>
    <row r="69">
      <c r="A69" s="80" t="n"/>
      <c r="B69" s="138" t="n"/>
      <c r="C69" s="80" t="n"/>
      <c r="D69" s="80" t="n"/>
      <c r="E69" s="80" t="n"/>
      <c r="F69" s="80" t="n"/>
      <c r="G69" s="80" t="n"/>
      <c r="H69" s="80" t="n"/>
      <c r="I69" s="80" t="n"/>
      <c r="J69" s="80" t="n"/>
      <c r="K69" s="82">
        <f>IF($J69="","",IFERROR(VLOOKUP($J69,'Base Settings'!$A$13:$K$19,2,FALSE),""))</f>
        <v/>
      </c>
      <c r="L69" s="139" t="n"/>
      <c r="M69" s="139" t="n"/>
      <c r="N69" s="140">
        <f>IF(OR($L69="",$M69=""),"",MAX(0,$L69-$M69))</f>
        <v/>
      </c>
      <c r="O69" s="140">
        <f>IF($J69="","",IFERROR(VLOOKUP($J69,'Base Settings'!$A$13:$K$19,3,FALSE),0))</f>
        <v/>
      </c>
      <c r="P69" s="140">
        <f>IF($N69="","",$N69*$O69)</f>
        <v/>
      </c>
      <c r="Q69" s="139" t="n"/>
      <c r="R69" s="139" t="n"/>
      <c r="S69" s="139" t="n"/>
      <c r="T69" s="139" t="n"/>
      <c r="U69" s="140">
        <f>IF($J69="","",IFERROR($N69*VLOOKUP($J69,'Base Settings'!$A$13:$K$19,4,FALSE),0))</f>
        <v/>
      </c>
      <c r="V69" s="140">
        <f>IFERROR($N69/$S69,"")</f>
        <v/>
      </c>
      <c r="W69" s="140">
        <f>IFERROR($N69/$T69,"")</f>
        <v/>
      </c>
      <c r="X69" s="80" t="n"/>
      <c r="Y69" s="80" t="n"/>
    </row>
    <row r="70">
      <c r="A70" s="80" t="n"/>
      <c r="B70" s="138" t="n"/>
      <c r="C70" s="80" t="n"/>
      <c r="D70" s="80" t="n"/>
      <c r="E70" s="80" t="n"/>
      <c r="F70" s="80" t="n"/>
      <c r="G70" s="80" t="n"/>
      <c r="H70" s="80" t="n"/>
      <c r="I70" s="80" t="n"/>
      <c r="J70" s="80" t="n"/>
      <c r="K70" s="82">
        <f>IF($J70="","",IFERROR(VLOOKUP($J70,'Base Settings'!$A$13:$K$19,2,FALSE),""))</f>
        <v/>
      </c>
      <c r="L70" s="139" t="n"/>
      <c r="M70" s="139" t="n"/>
      <c r="N70" s="140">
        <f>IF(OR($L70="",$M70=""),"",MAX(0,$L70-$M70))</f>
        <v/>
      </c>
      <c r="O70" s="140">
        <f>IF($J70="","",IFERROR(VLOOKUP($J70,'Base Settings'!$A$13:$K$19,3,FALSE),0))</f>
        <v/>
      </c>
      <c r="P70" s="140">
        <f>IF($N70="","",$N70*$O70)</f>
        <v/>
      </c>
      <c r="Q70" s="139" t="n"/>
      <c r="R70" s="139" t="n"/>
      <c r="S70" s="139" t="n"/>
      <c r="T70" s="139" t="n"/>
      <c r="U70" s="140">
        <f>IF($J70="","",IFERROR($N70*VLOOKUP($J70,'Base Settings'!$A$13:$K$19,4,FALSE),0))</f>
        <v/>
      </c>
      <c r="V70" s="140">
        <f>IFERROR($N70/$S70,"")</f>
        <v/>
      </c>
      <c r="W70" s="140">
        <f>IFERROR($N70/$T70,"")</f>
        <v/>
      </c>
      <c r="X70" s="80" t="n"/>
      <c r="Y70" s="80" t="n"/>
    </row>
    <row r="71">
      <c r="A71" s="80" t="n"/>
      <c r="B71" s="138" t="n"/>
      <c r="C71" s="80" t="n"/>
      <c r="D71" s="80" t="n"/>
      <c r="E71" s="80" t="n"/>
      <c r="F71" s="80" t="n"/>
      <c r="G71" s="80" t="n"/>
      <c r="H71" s="80" t="n"/>
      <c r="I71" s="80" t="n"/>
      <c r="J71" s="80" t="n"/>
      <c r="K71" s="82">
        <f>IF($J71="","",IFERROR(VLOOKUP($J71,'Base Settings'!$A$13:$K$19,2,FALSE),""))</f>
        <v/>
      </c>
      <c r="L71" s="139" t="n"/>
      <c r="M71" s="139" t="n"/>
      <c r="N71" s="140">
        <f>IF(OR($L71="",$M71=""),"",MAX(0,$L71-$M71))</f>
        <v/>
      </c>
      <c r="O71" s="140">
        <f>IF($J71="","",IFERROR(VLOOKUP($J71,'Base Settings'!$A$13:$K$19,3,FALSE),0))</f>
        <v/>
      </c>
      <c r="P71" s="140">
        <f>IF($N71="","",$N71*$O71)</f>
        <v/>
      </c>
      <c r="Q71" s="139" t="n"/>
      <c r="R71" s="139" t="n"/>
      <c r="S71" s="139" t="n"/>
      <c r="T71" s="139" t="n"/>
      <c r="U71" s="140">
        <f>IF($J71="","",IFERROR($N71*VLOOKUP($J71,'Base Settings'!$A$13:$K$19,4,FALSE),0))</f>
        <v/>
      </c>
      <c r="V71" s="140">
        <f>IFERROR($N71/$S71,"")</f>
        <v/>
      </c>
      <c r="W71" s="140">
        <f>IFERROR($N71/$T71,"")</f>
        <v/>
      </c>
      <c r="X71" s="80" t="n"/>
      <c r="Y71" s="80" t="n"/>
    </row>
    <row r="72">
      <c r="A72" s="80" t="n"/>
      <c r="B72" s="138" t="n"/>
      <c r="C72" s="80" t="n"/>
      <c r="D72" s="80" t="n"/>
      <c r="E72" s="80" t="n"/>
      <c r="F72" s="80" t="n"/>
      <c r="G72" s="80" t="n"/>
      <c r="H72" s="80" t="n"/>
      <c r="I72" s="80" t="n"/>
      <c r="J72" s="80" t="n"/>
      <c r="K72" s="82">
        <f>IF($J72="","",IFERROR(VLOOKUP($J72,'Base Settings'!$A$13:$K$19,2,FALSE),""))</f>
        <v/>
      </c>
      <c r="L72" s="139" t="n"/>
      <c r="M72" s="139" t="n"/>
      <c r="N72" s="140">
        <f>IF(OR($L72="",$M72=""),"",MAX(0,$L72-$M72))</f>
        <v/>
      </c>
      <c r="O72" s="140">
        <f>IF($J72="","",IFERROR(VLOOKUP($J72,'Base Settings'!$A$13:$K$19,3,FALSE),0))</f>
        <v/>
      </c>
      <c r="P72" s="140">
        <f>IF($N72="","",$N72*$O72)</f>
        <v/>
      </c>
      <c r="Q72" s="139" t="n"/>
      <c r="R72" s="139" t="n"/>
      <c r="S72" s="139" t="n"/>
      <c r="T72" s="139" t="n"/>
      <c r="U72" s="140">
        <f>IF($J72="","",IFERROR($N72*VLOOKUP($J72,'Base Settings'!$A$13:$K$19,4,FALSE),0))</f>
        <v/>
      </c>
      <c r="V72" s="140">
        <f>IFERROR($N72/$S72,"")</f>
        <v/>
      </c>
      <c r="W72" s="140">
        <f>IFERROR($N72/$T72,"")</f>
        <v/>
      </c>
      <c r="X72" s="80" t="n"/>
      <c r="Y72" s="80" t="n"/>
    </row>
    <row r="73">
      <c r="A73" s="80" t="n"/>
      <c r="B73" s="138" t="n"/>
      <c r="C73" s="80" t="n"/>
      <c r="D73" s="80" t="n"/>
      <c r="E73" s="80" t="n"/>
      <c r="F73" s="80" t="n"/>
      <c r="G73" s="80" t="n"/>
      <c r="H73" s="80" t="n"/>
      <c r="I73" s="80" t="n"/>
      <c r="J73" s="80" t="n"/>
      <c r="K73" s="82">
        <f>IF($J73="","",IFERROR(VLOOKUP($J73,'Base Settings'!$A$13:$K$19,2,FALSE),""))</f>
        <v/>
      </c>
      <c r="L73" s="139" t="n"/>
      <c r="M73" s="139" t="n"/>
      <c r="N73" s="140">
        <f>IF(OR($L73="",$M73=""),"",MAX(0,$L73-$M73))</f>
        <v/>
      </c>
      <c r="O73" s="140">
        <f>IF($J73="","",IFERROR(VLOOKUP($J73,'Base Settings'!$A$13:$K$19,3,FALSE),0))</f>
        <v/>
      </c>
      <c r="P73" s="140">
        <f>IF($N73="","",$N73*$O73)</f>
        <v/>
      </c>
      <c r="Q73" s="139" t="n"/>
      <c r="R73" s="139" t="n"/>
      <c r="S73" s="139" t="n"/>
      <c r="T73" s="139" t="n"/>
      <c r="U73" s="140">
        <f>IF($J73="","",IFERROR($N73*VLOOKUP($J73,'Base Settings'!$A$13:$K$19,4,FALSE),0))</f>
        <v/>
      </c>
      <c r="V73" s="140">
        <f>IFERROR($N73/$S73,"")</f>
        <v/>
      </c>
      <c r="W73" s="140">
        <f>IFERROR($N73/$T73,"")</f>
        <v/>
      </c>
      <c r="X73" s="80" t="n"/>
      <c r="Y73" s="80" t="n"/>
    </row>
    <row r="74">
      <c r="A74" s="80" t="n"/>
      <c r="B74" s="138" t="n"/>
      <c r="C74" s="80" t="n"/>
      <c r="D74" s="80" t="n"/>
      <c r="E74" s="80" t="n"/>
      <c r="F74" s="80" t="n"/>
      <c r="G74" s="80" t="n"/>
      <c r="H74" s="80" t="n"/>
      <c r="I74" s="80" t="n"/>
      <c r="J74" s="80" t="n"/>
      <c r="K74" s="82">
        <f>IF($J74="","",IFERROR(VLOOKUP($J74,'Base Settings'!$A$13:$K$19,2,FALSE),""))</f>
        <v/>
      </c>
      <c r="L74" s="139" t="n"/>
      <c r="M74" s="139" t="n"/>
      <c r="N74" s="140">
        <f>IF(OR($L74="",$M74=""),"",MAX(0,$L74-$M74))</f>
        <v/>
      </c>
      <c r="O74" s="140">
        <f>IF($J74="","",IFERROR(VLOOKUP($J74,'Base Settings'!$A$13:$K$19,3,FALSE),0))</f>
        <v/>
      </c>
      <c r="P74" s="140">
        <f>IF($N74="","",$N74*$O74)</f>
        <v/>
      </c>
      <c r="Q74" s="139" t="n"/>
      <c r="R74" s="139" t="n"/>
      <c r="S74" s="139" t="n"/>
      <c r="T74" s="139" t="n"/>
      <c r="U74" s="140">
        <f>IF($J74="","",IFERROR($N74*VLOOKUP($J74,'Base Settings'!$A$13:$K$19,4,FALSE),0))</f>
        <v/>
      </c>
      <c r="V74" s="140">
        <f>IFERROR($N74/$S74,"")</f>
        <v/>
      </c>
      <c r="W74" s="140">
        <f>IFERROR($N74/$T74,"")</f>
        <v/>
      </c>
      <c r="X74" s="80" t="n"/>
      <c r="Y74" s="80" t="n"/>
    </row>
    <row r="75">
      <c r="A75" s="80" t="n"/>
      <c r="B75" s="138" t="n"/>
      <c r="C75" s="80" t="n"/>
      <c r="D75" s="80" t="n"/>
      <c r="E75" s="80" t="n"/>
      <c r="F75" s="80" t="n"/>
      <c r="G75" s="80" t="n"/>
      <c r="H75" s="80" t="n"/>
      <c r="I75" s="80" t="n"/>
      <c r="J75" s="80" t="n"/>
      <c r="K75" s="82">
        <f>IF($J75="","",IFERROR(VLOOKUP($J75,'Base Settings'!$A$13:$K$19,2,FALSE),""))</f>
        <v/>
      </c>
      <c r="L75" s="139" t="n"/>
      <c r="M75" s="139" t="n"/>
      <c r="N75" s="140">
        <f>IF(OR($L75="",$M75=""),"",MAX(0,$L75-$M75))</f>
        <v/>
      </c>
      <c r="O75" s="140">
        <f>IF($J75="","",IFERROR(VLOOKUP($J75,'Base Settings'!$A$13:$K$19,3,FALSE),0))</f>
        <v/>
      </c>
      <c r="P75" s="140">
        <f>IF($N75="","",$N75*$O75)</f>
        <v/>
      </c>
      <c r="Q75" s="139" t="n"/>
      <c r="R75" s="139" t="n"/>
      <c r="S75" s="139" t="n"/>
      <c r="T75" s="139" t="n"/>
      <c r="U75" s="140">
        <f>IF($J75="","",IFERROR($N75*VLOOKUP($J75,'Base Settings'!$A$13:$K$19,4,FALSE),0))</f>
        <v/>
      </c>
      <c r="V75" s="140">
        <f>IFERROR($N75/$S75,"")</f>
        <v/>
      </c>
      <c r="W75" s="140">
        <f>IFERROR($N75/$T75,"")</f>
        <v/>
      </c>
      <c r="X75" s="80" t="n"/>
      <c r="Y75" s="80" t="n"/>
    </row>
    <row r="76">
      <c r="A76" s="80" t="n"/>
      <c r="B76" s="138" t="n"/>
      <c r="C76" s="80" t="n"/>
      <c r="D76" s="80" t="n"/>
      <c r="E76" s="80" t="n"/>
      <c r="F76" s="80" t="n"/>
      <c r="G76" s="80" t="n"/>
      <c r="H76" s="80" t="n"/>
      <c r="I76" s="80" t="n"/>
      <c r="J76" s="80" t="n"/>
      <c r="K76" s="82">
        <f>IF($J76="","",IFERROR(VLOOKUP($J76,'Base Settings'!$A$13:$K$19,2,FALSE),""))</f>
        <v/>
      </c>
      <c r="L76" s="139" t="n"/>
      <c r="M76" s="139" t="n"/>
      <c r="N76" s="140">
        <f>IF(OR($L76="",$M76=""),"",MAX(0,$L76-$M76))</f>
        <v/>
      </c>
      <c r="O76" s="140">
        <f>IF($J76="","",IFERROR(VLOOKUP($J76,'Base Settings'!$A$13:$K$19,3,FALSE),0))</f>
        <v/>
      </c>
      <c r="P76" s="140">
        <f>IF($N76="","",$N76*$O76)</f>
        <v/>
      </c>
      <c r="Q76" s="139" t="n"/>
      <c r="R76" s="139" t="n"/>
      <c r="S76" s="139" t="n"/>
      <c r="T76" s="139" t="n"/>
      <c r="U76" s="140">
        <f>IF($J76="","",IFERROR($N76*VLOOKUP($J76,'Base Settings'!$A$13:$K$19,4,FALSE),0))</f>
        <v/>
      </c>
      <c r="V76" s="140">
        <f>IFERROR($N76/$S76,"")</f>
        <v/>
      </c>
      <c r="W76" s="140">
        <f>IFERROR($N76/$T76,"")</f>
        <v/>
      </c>
      <c r="X76" s="80" t="n"/>
      <c r="Y76" s="80" t="n"/>
    </row>
    <row r="77">
      <c r="A77" s="80" t="n"/>
      <c r="B77" s="138" t="n"/>
      <c r="C77" s="80" t="n"/>
      <c r="D77" s="80" t="n"/>
      <c r="E77" s="80" t="n"/>
      <c r="F77" s="80" t="n"/>
      <c r="G77" s="80" t="n"/>
      <c r="H77" s="80" t="n"/>
      <c r="I77" s="80" t="n"/>
      <c r="J77" s="80" t="n"/>
      <c r="K77" s="82">
        <f>IF($J77="","",IFERROR(VLOOKUP($J77,'Base Settings'!$A$13:$K$19,2,FALSE),""))</f>
        <v/>
      </c>
      <c r="L77" s="139" t="n"/>
      <c r="M77" s="139" t="n"/>
      <c r="N77" s="140">
        <f>IF(OR($L77="",$M77=""),"",MAX(0,$L77-$M77))</f>
        <v/>
      </c>
      <c r="O77" s="140">
        <f>IF($J77="","",IFERROR(VLOOKUP($J77,'Base Settings'!$A$13:$K$19,3,FALSE),0))</f>
        <v/>
      </c>
      <c r="P77" s="140">
        <f>IF($N77="","",$N77*$O77)</f>
        <v/>
      </c>
      <c r="Q77" s="139" t="n"/>
      <c r="R77" s="139" t="n"/>
      <c r="S77" s="139" t="n"/>
      <c r="T77" s="139" t="n"/>
      <c r="U77" s="140">
        <f>IF($J77="","",IFERROR($N77*VLOOKUP($J77,'Base Settings'!$A$13:$K$19,4,FALSE),0))</f>
        <v/>
      </c>
      <c r="V77" s="140">
        <f>IFERROR($N77/$S77,"")</f>
        <v/>
      </c>
      <c r="W77" s="140">
        <f>IFERROR($N77/$T77,"")</f>
        <v/>
      </c>
      <c r="X77" s="80" t="n"/>
      <c r="Y77" s="80" t="n"/>
    </row>
    <row r="78">
      <c r="A78" s="80" t="n"/>
      <c r="B78" s="138" t="n"/>
      <c r="C78" s="80" t="n"/>
      <c r="D78" s="80" t="n"/>
      <c r="E78" s="80" t="n"/>
      <c r="F78" s="80" t="n"/>
      <c r="G78" s="80" t="n"/>
      <c r="H78" s="80" t="n"/>
      <c r="I78" s="80" t="n"/>
      <c r="J78" s="80" t="n"/>
      <c r="K78" s="82">
        <f>IF($J78="","",IFERROR(VLOOKUP($J78,'Base Settings'!$A$13:$K$19,2,FALSE),""))</f>
        <v/>
      </c>
      <c r="L78" s="139" t="n"/>
      <c r="M78" s="139" t="n"/>
      <c r="N78" s="140">
        <f>IF(OR($L78="",$M78=""),"",MAX(0,$L78-$M78))</f>
        <v/>
      </c>
      <c r="O78" s="140">
        <f>IF($J78="","",IFERROR(VLOOKUP($J78,'Base Settings'!$A$13:$K$19,3,FALSE),0))</f>
        <v/>
      </c>
      <c r="P78" s="140">
        <f>IF($N78="","",$N78*$O78)</f>
        <v/>
      </c>
      <c r="Q78" s="139" t="n"/>
      <c r="R78" s="139" t="n"/>
      <c r="S78" s="139" t="n"/>
      <c r="T78" s="139" t="n"/>
      <c r="U78" s="140">
        <f>IF($J78="","",IFERROR($N78*VLOOKUP($J78,'Base Settings'!$A$13:$K$19,4,FALSE),0))</f>
        <v/>
      </c>
      <c r="V78" s="140">
        <f>IFERROR($N78/$S78,"")</f>
        <v/>
      </c>
      <c r="W78" s="140">
        <f>IFERROR($N78/$T78,"")</f>
        <v/>
      </c>
      <c r="X78" s="80" t="n"/>
      <c r="Y78" s="80" t="n"/>
    </row>
    <row r="79">
      <c r="A79" s="80" t="n"/>
      <c r="B79" s="138" t="n"/>
      <c r="C79" s="80" t="n"/>
      <c r="D79" s="80" t="n"/>
      <c r="E79" s="80" t="n"/>
      <c r="F79" s="80" t="n"/>
      <c r="G79" s="80" t="n"/>
      <c r="H79" s="80" t="n"/>
      <c r="I79" s="80" t="n"/>
      <c r="J79" s="80" t="n"/>
      <c r="K79" s="82">
        <f>IF($J79="","",IFERROR(VLOOKUP($J79,'Base Settings'!$A$13:$K$19,2,FALSE),""))</f>
        <v/>
      </c>
      <c r="L79" s="139" t="n"/>
      <c r="M79" s="139" t="n"/>
      <c r="N79" s="140">
        <f>IF(OR($L79="",$M79=""),"",MAX(0,$L79-$M79))</f>
        <v/>
      </c>
      <c r="O79" s="140">
        <f>IF($J79="","",IFERROR(VLOOKUP($J79,'Base Settings'!$A$13:$K$19,3,FALSE),0))</f>
        <v/>
      </c>
      <c r="P79" s="140">
        <f>IF($N79="","",$N79*$O79)</f>
        <v/>
      </c>
      <c r="Q79" s="139" t="n"/>
      <c r="R79" s="139" t="n"/>
      <c r="S79" s="139" t="n"/>
      <c r="T79" s="139" t="n"/>
      <c r="U79" s="140">
        <f>IF($J79="","",IFERROR($N79*VLOOKUP($J79,'Base Settings'!$A$13:$K$19,4,FALSE),0))</f>
        <v/>
      </c>
      <c r="V79" s="140">
        <f>IFERROR($N79/$S79,"")</f>
        <v/>
      </c>
      <c r="W79" s="140">
        <f>IFERROR($N79/$T79,"")</f>
        <v/>
      </c>
      <c r="X79" s="80" t="n"/>
      <c r="Y79" s="80" t="n"/>
    </row>
    <row r="80">
      <c r="A80" s="80" t="n"/>
      <c r="B80" s="138" t="n"/>
      <c r="C80" s="80" t="n"/>
      <c r="D80" s="80" t="n"/>
      <c r="E80" s="80" t="n"/>
      <c r="F80" s="80" t="n"/>
      <c r="G80" s="80" t="n"/>
      <c r="H80" s="80" t="n"/>
      <c r="I80" s="80" t="n"/>
      <c r="J80" s="80" t="n"/>
      <c r="K80" s="82">
        <f>IF($J80="","",IFERROR(VLOOKUP($J80,'Base Settings'!$A$13:$K$19,2,FALSE),""))</f>
        <v/>
      </c>
      <c r="L80" s="139" t="n"/>
      <c r="M80" s="139" t="n"/>
      <c r="N80" s="140">
        <f>IF(OR($L80="",$M80=""),"",MAX(0,$L80-$M80))</f>
        <v/>
      </c>
      <c r="O80" s="140">
        <f>IF($J80="","",IFERROR(VLOOKUP($J80,'Base Settings'!$A$13:$K$19,3,FALSE),0))</f>
        <v/>
      </c>
      <c r="P80" s="140">
        <f>IF($N80="","",$N80*$O80)</f>
        <v/>
      </c>
      <c r="Q80" s="139" t="n"/>
      <c r="R80" s="139" t="n"/>
      <c r="S80" s="139" t="n"/>
      <c r="T80" s="139" t="n"/>
      <c r="U80" s="140">
        <f>IF($J80="","",IFERROR($N80*VLOOKUP($J80,'Base Settings'!$A$13:$K$19,4,FALSE),0))</f>
        <v/>
      </c>
      <c r="V80" s="140">
        <f>IFERROR($N80/$S80,"")</f>
        <v/>
      </c>
      <c r="W80" s="140">
        <f>IFERROR($N80/$T80,"")</f>
        <v/>
      </c>
      <c r="X80" s="80" t="n"/>
      <c r="Y80" s="80" t="n"/>
    </row>
    <row r="81">
      <c r="A81" s="80" t="n"/>
      <c r="B81" s="138" t="n"/>
      <c r="C81" s="80" t="n"/>
      <c r="D81" s="80" t="n"/>
      <c r="E81" s="80" t="n"/>
      <c r="F81" s="80" t="n"/>
      <c r="G81" s="80" t="n"/>
      <c r="H81" s="80" t="n"/>
      <c r="I81" s="80" t="n"/>
      <c r="J81" s="80" t="n"/>
      <c r="K81" s="82">
        <f>IF($J81="","",IFERROR(VLOOKUP($J81,'Base Settings'!$A$13:$K$19,2,FALSE),""))</f>
        <v/>
      </c>
      <c r="L81" s="139" t="n"/>
      <c r="M81" s="139" t="n"/>
      <c r="N81" s="140">
        <f>IF(OR($L81="",$M81=""),"",MAX(0,$L81-$M81))</f>
        <v/>
      </c>
      <c r="O81" s="140">
        <f>IF($J81="","",IFERROR(VLOOKUP($J81,'Base Settings'!$A$13:$K$19,3,FALSE),0))</f>
        <v/>
      </c>
      <c r="P81" s="140">
        <f>IF($N81="","",$N81*$O81)</f>
        <v/>
      </c>
      <c r="Q81" s="139" t="n"/>
      <c r="R81" s="139" t="n"/>
      <c r="S81" s="139" t="n"/>
      <c r="T81" s="139" t="n"/>
      <c r="U81" s="140">
        <f>IF($J81="","",IFERROR($N81*VLOOKUP($J81,'Base Settings'!$A$13:$K$19,4,FALSE),0))</f>
        <v/>
      </c>
      <c r="V81" s="140">
        <f>IFERROR($N81/$S81,"")</f>
        <v/>
      </c>
      <c r="W81" s="140">
        <f>IFERROR($N81/$T81,"")</f>
        <v/>
      </c>
      <c r="X81" s="80" t="n"/>
      <c r="Y81" s="80" t="n"/>
    </row>
    <row r="82">
      <c r="A82" s="80" t="n"/>
      <c r="B82" s="138" t="n"/>
      <c r="C82" s="80" t="n"/>
      <c r="D82" s="80" t="n"/>
      <c r="E82" s="80" t="n"/>
      <c r="F82" s="80" t="n"/>
      <c r="G82" s="80" t="n"/>
      <c r="H82" s="80" t="n"/>
      <c r="I82" s="80" t="n"/>
      <c r="J82" s="80" t="n"/>
      <c r="K82" s="82">
        <f>IF($J82="","",IFERROR(VLOOKUP($J82,'Base Settings'!$A$13:$K$19,2,FALSE),""))</f>
        <v/>
      </c>
      <c r="L82" s="139" t="n"/>
      <c r="M82" s="139" t="n"/>
      <c r="N82" s="140">
        <f>IF(OR($L82="",$M82=""),"",MAX(0,$L82-$M82))</f>
        <v/>
      </c>
      <c r="O82" s="140">
        <f>IF($J82="","",IFERROR(VLOOKUP($J82,'Base Settings'!$A$13:$K$19,3,FALSE),0))</f>
        <v/>
      </c>
      <c r="P82" s="140">
        <f>IF($N82="","",$N82*$O82)</f>
        <v/>
      </c>
      <c r="Q82" s="139" t="n"/>
      <c r="R82" s="139" t="n"/>
      <c r="S82" s="139" t="n"/>
      <c r="T82" s="139" t="n"/>
      <c r="U82" s="140">
        <f>IF($J82="","",IFERROR($N82*VLOOKUP($J82,'Base Settings'!$A$13:$K$19,4,FALSE),0))</f>
        <v/>
      </c>
      <c r="V82" s="140">
        <f>IFERROR($N82/$S82,"")</f>
        <v/>
      </c>
      <c r="W82" s="140">
        <f>IFERROR($N82/$T82,"")</f>
        <v/>
      </c>
      <c r="X82" s="80" t="n"/>
      <c r="Y82" s="80" t="n"/>
    </row>
    <row r="83">
      <c r="A83" s="80" t="n"/>
      <c r="B83" s="138" t="n"/>
      <c r="C83" s="80" t="n"/>
      <c r="D83" s="80" t="n"/>
      <c r="E83" s="80" t="n"/>
      <c r="F83" s="80" t="n"/>
      <c r="G83" s="80" t="n"/>
      <c r="H83" s="80" t="n"/>
      <c r="I83" s="80" t="n"/>
      <c r="J83" s="80" t="n"/>
      <c r="K83" s="82">
        <f>IF($J83="","",IFERROR(VLOOKUP($J83,'Base Settings'!$A$13:$K$19,2,FALSE),""))</f>
        <v/>
      </c>
      <c r="L83" s="139" t="n"/>
      <c r="M83" s="139" t="n"/>
      <c r="N83" s="140">
        <f>IF(OR($L83="",$M83=""),"",MAX(0,$L83-$M83))</f>
        <v/>
      </c>
      <c r="O83" s="140">
        <f>IF($J83="","",IFERROR(VLOOKUP($J83,'Base Settings'!$A$13:$K$19,3,FALSE),0))</f>
        <v/>
      </c>
      <c r="P83" s="140">
        <f>IF($N83="","",$N83*$O83)</f>
        <v/>
      </c>
      <c r="Q83" s="139" t="n"/>
      <c r="R83" s="139" t="n"/>
      <c r="S83" s="139" t="n"/>
      <c r="T83" s="139" t="n"/>
      <c r="U83" s="140">
        <f>IF($J83="","",IFERROR($N83*VLOOKUP($J83,'Base Settings'!$A$13:$K$19,4,FALSE),0))</f>
        <v/>
      </c>
      <c r="V83" s="140">
        <f>IFERROR($N83/$S83,"")</f>
        <v/>
      </c>
      <c r="W83" s="140">
        <f>IFERROR($N83/$T83,"")</f>
        <v/>
      </c>
      <c r="X83" s="80" t="n"/>
      <c r="Y83" s="80" t="n"/>
    </row>
    <row r="84">
      <c r="A84" s="80" t="n"/>
      <c r="B84" s="138" t="n"/>
      <c r="C84" s="80" t="n"/>
      <c r="D84" s="80" t="n"/>
      <c r="E84" s="80" t="n"/>
      <c r="F84" s="80" t="n"/>
      <c r="G84" s="80" t="n"/>
      <c r="H84" s="80" t="n"/>
      <c r="I84" s="80" t="n"/>
      <c r="J84" s="80" t="n"/>
      <c r="K84" s="82">
        <f>IF($J84="","",IFERROR(VLOOKUP($J84,'Base Settings'!$A$13:$K$19,2,FALSE),""))</f>
        <v/>
      </c>
      <c r="L84" s="139" t="n"/>
      <c r="M84" s="139" t="n"/>
      <c r="N84" s="140">
        <f>IF(OR($L84="",$M84=""),"",MAX(0,$L84-$M84))</f>
        <v/>
      </c>
      <c r="O84" s="140">
        <f>IF($J84="","",IFERROR(VLOOKUP($J84,'Base Settings'!$A$13:$K$19,3,FALSE),0))</f>
        <v/>
      </c>
      <c r="P84" s="140">
        <f>IF($N84="","",$N84*$O84)</f>
        <v/>
      </c>
      <c r="Q84" s="139" t="n"/>
      <c r="R84" s="139" t="n"/>
      <c r="S84" s="139" t="n"/>
      <c r="T84" s="139" t="n"/>
      <c r="U84" s="140">
        <f>IF($J84="","",IFERROR($N84*VLOOKUP($J84,'Base Settings'!$A$13:$K$19,4,FALSE),0))</f>
        <v/>
      </c>
      <c r="V84" s="140">
        <f>IFERROR($N84/$S84,"")</f>
        <v/>
      </c>
      <c r="W84" s="140">
        <f>IFERROR($N84/$T84,"")</f>
        <v/>
      </c>
      <c r="X84" s="80" t="n"/>
      <c r="Y84" s="80" t="n"/>
    </row>
    <row r="85">
      <c r="A85" s="80" t="n"/>
      <c r="B85" s="138" t="n"/>
      <c r="C85" s="80" t="n"/>
      <c r="D85" s="80" t="n"/>
      <c r="E85" s="80" t="n"/>
      <c r="F85" s="80" t="n"/>
      <c r="G85" s="80" t="n"/>
      <c r="H85" s="80" t="n"/>
      <c r="I85" s="80" t="n"/>
      <c r="J85" s="80" t="n"/>
      <c r="K85" s="82">
        <f>IF($J85="","",IFERROR(VLOOKUP($J85,'Base Settings'!$A$13:$K$19,2,FALSE),""))</f>
        <v/>
      </c>
      <c r="L85" s="139" t="n"/>
      <c r="M85" s="139" t="n"/>
      <c r="N85" s="140">
        <f>IF(OR($L85="",$M85=""),"",MAX(0,$L85-$M85))</f>
        <v/>
      </c>
      <c r="O85" s="140">
        <f>IF($J85="","",IFERROR(VLOOKUP($J85,'Base Settings'!$A$13:$K$19,3,FALSE),0))</f>
        <v/>
      </c>
      <c r="P85" s="140">
        <f>IF($N85="","",$N85*$O85)</f>
        <v/>
      </c>
      <c r="Q85" s="139" t="n"/>
      <c r="R85" s="139" t="n"/>
      <c r="S85" s="139" t="n"/>
      <c r="T85" s="139" t="n"/>
      <c r="U85" s="140">
        <f>IF($J85="","",IFERROR($N85*VLOOKUP($J85,'Base Settings'!$A$13:$K$19,4,FALSE),0))</f>
        <v/>
      </c>
      <c r="V85" s="140">
        <f>IFERROR($N85/$S85,"")</f>
        <v/>
      </c>
      <c r="W85" s="140">
        <f>IFERROR($N85/$T85,"")</f>
        <v/>
      </c>
      <c r="X85" s="80" t="n"/>
      <c r="Y85" s="80" t="n"/>
    </row>
    <row r="86">
      <c r="A86" s="80" t="n"/>
      <c r="B86" s="138" t="n"/>
      <c r="C86" s="80" t="n"/>
      <c r="D86" s="80" t="n"/>
      <c r="E86" s="80" t="n"/>
      <c r="F86" s="80" t="n"/>
      <c r="G86" s="80" t="n"/>
      <c r="H86" s="80" t="n"/>
      <c r="I86" s="80" t="n"/>
      <c r="J86" s="80" t="n"/>
      <c r="K86" s="82">
        <f>IF($J86="","",IFERROR(VLOOKUP($J86,'Base Settings'!$A$13:$K$19,2,FALSE),""))</f>
        <v/>
      </c>
      <c r="L86" s="139" t="n"/>
      <c r="M86" s="139" t="n"/>
      <c r="N86" s="140">
        <f>IF(OR($L86="",$M86=""),"",MAX(0,$L86-$M86))</f>
        <v/>
      </c>
      <c r="O86" s="140">
        <f>IF($J86="","",IFERROR(VLOOKUP($J86,'Base Settings'!$A$13:$K$19,3,FALSE),0))</f>
        <v/>
      </c>
      <c r="P86" s="140">
        <f>IF($N86="","",$N86*$O86)</f>
        <v/>
      </c>
      <c r="Q86" s="139" t="n"/>
      <c r="R86" s="139" t="n"/>
      <c r="S86" s="139" t="n"/>
      <c r="T86" s="139" t="n"/>
      <c r="U86" s="140">
        <f>IF($J86="","",IFERROR($N86*VLOOKUP($J86,'Base Settings'!$A$13:$K$19,4,FALSE),0))</f>
        <v/>
      </c>
      <c r="V86" s="140">
        <f>IFERROR($N86/$S86,"")</f>
        <v/>
      </c>
      <c r="W86" s="140">
        <f>IFERROR($N86/$T86,"")</f>
        <v/>
      </c>
      <c r="X86" s="80" t="n"/>
      <c r="Y86" s="80" t="n"/>
    </row>
    <row r="87">
      <c r="A87" s="80" t="n"/>
      <c r="B87" s="138" t="n"/>
      <c r="C87" s="80" t="n"/>
      <c r="D87" s="80" t="n"/>
      <c r="E87" s="80" t="n"/>
      <c r="F87" s="80" t="n"/>
      <c r="G87" s="80" t="n"/>
      <c r="H87" s="80" t="n"/>
      <c r="I87" s="80" t="n"/>
      <c r="J87" s="80" t="n"/>
      <c r="K87" s="82">
        <f>IF($J87="","",IFERROR(VLOOKUP($J87,'Base Settings'!$A$13:$K$19,2,FALSE),""))</f>
        <v/>
      </c>
      <c r="L87" s="139" t="n"/>
      <c r="M87" s="139" t="n"/>
      <c r="N87" s="140">
        <f>IF(OR($L87="",$M87=""),"",MAX(0,$L87-$M87))</f>
        <v/>
      </c>
      <c r="O87" s="140">
        <f>IF($J87="","",IFERROR(VLOOKUP($J87,'Base Settings'!$A$13:$K$19,3,FALSE),0))</f>
        <v/>
      </c>
      <c r="P87" s="140">
        <f>IF($N87="","",$N87*$O87)</f>
        <v/>
      </c>
      <c r="Q87" s="139" t="n"/>
      <c r="R87" s="139" t="n"/>
      <c r="S87" s="139" t="n"/>
      <c r="T87" s="139" t="n"/>
      <c r="U87" s="140">
        <f>IF($J87="","",IFERROR($N87*VLOOKUP($J87,'Base Settings'!$A$13:$K$19,4,FALSE),0))</f>
        <v/>
      </c>
      <c r="V87" s="140">
        <f>IFERROR($N87/$S87,"")</f>
        <v/>
      </c>
      <c r="W87" s="140">
        <f>IFERROR($N87/$T87,"")</f>
        <v/>
      </c>
      <c r="X87" s="80" t="n"/>
      <c r="Y87" s="80" t="n"/>
    </row>
    <row r="88">
      <c r="A88" s="80" t="n"/>
      <c r="B88" s="138" t="n"/>
      <c r="C88" s="80" t="n"/>
      <c r="D88" s="80" t="n"/>
      <c r="E88" s="80" t="n"/>
      <c r="F88" s="80" t="n"/>
      <c r="G88" s="80" t="n"/>
      <c r="H88" s="80" t="n"/>
      <c r="I88" s="80" t="n"/>
      <c r="J88" s="80" t="n"/>
      <c r="K88" s="82">
        <f>IF($J88="","",IFERROR(VLOOKUP($J88,'Base Settings'!$A$13:$K$19,2,FALSE),""))</f>
        <v/>
      </c>
      <c r="L88" s="139" t="n"/>
      <c r="M88" s="139" t="n"/>
      <c r="N88" s="140">
        <f>IF(OR($L88="",$M88=""),"",MAX(0,$L88-$M88))</f>
        <v/>
      </c>
      <c r="O88" s="140">
        <f>IF($J88="","",IFERROR(VLOOKUP($J88,'Base Settings'!$A$13:$K$19,3,FALSE),0))</f>
        <v/>
      </c>
      <c r="P88" s="140">
        <f>IF($N88="","",$N88*$O88)</f>
        <v/>
      </c>
      <c r="Q88" s="139" t="n"/>
      <c r="R88" s="139" t="n"/>
      <c r="S88" s="139" t="n"/>
      <c r="T88" s="139" t="n"/>
      <c r="U88" s="140">
        <f>IF($J88="","",IFERROR($N88*VLOOKUP($J88,'Base Settings'!$A$13:$K$19,4,FALSE),0))</f>
        <v/>
      </c>
      <c r="V88" s="140">
        <f>IFERROR($N88/$S88,"")</f>
        <v/>
      </c>
      <c r="W88" s="140">
        <f>IFERROR($N88/$T88,"")</f>
        <v/>
      </c>
      <c r="X88" s="80" t="n"/>
      <c r="Y88" s="80" t="n"/>
    </row>
    <row r="89">
      <c r="A89" s="80" t="n"/>
      <c r="B89" s="138" t="n"/>
      <c r="C89" s="80" t="n"/>
      <c r="D89" s="80" t="n"/>
      <c r="E89" s="80" t="n"/>
      <c r="F89" s="80" t="n"/>
      <c r="G89" s="80" t="n"/>
      <c r="H89" s="80" t="n"/>
      <c r="I89" s="80" t="n"/>
      <c r="J89" s="80" t="n"/>
      <c r="K89" s="82">
        <f>IF($J89="","",IFERROR(VLOOKUP($J89,'Base Settings'!$A$13:$K$19,2,FALSE),""))</f>
        <v/>
      </c>
      <c r="L89" s="139" t="n"/>
      <c r="M89" s="139" t="n"/>
      <c r="N89" s="140">
        <f>IF(OR($L89="",$M89=""),"",MAX(0,$L89-$M89))</f>
        <v/>
      </c>
      <c r="O89" s="140">
        <f>IF($J89="","",IFERROR(VLOOKUP($J89,'Base Settings'!$A$13:$K$19,3,FALSE),0))</f>
        <v/>
      </c>
      <c r="P89" s="140">
        <f>IF($N89="","",$N89*$O89)</f>
        <v/>
      </c>
      <c r="Q89" s="139" t="n"/>
      <c r="R89" s="139" t="n"/>
      <c r="S89" s="139" t="n"/>
      <c r="T89" s="139" t="n"/>
      <c r="U89" s="140">
        <f>IF($J89="","",IFERROR($N89*VLOOKUP($J89,'Base Settings'!$A$13:$K$19,4,FALSE),0))</f>
        <v/>
      </c>
      <c r="V89" s="140">
        <f>IFERROR($N89/$S89,"")</f>
        <v/>
      </c>
      <c r="W89" s="140">
        <f>IFERROR($N89/$T89,"")</f>
        <v/>
      </c>
      <c r="X89" s="80" t="n"/>
      <c r="Y89" s="80" t="n"/>
    </row>
    <row r="90">
      <c r="A90" s="80" t="n"/>
      <c r="B90" s="138" t="n"/>
      <c r="C90" s="80" t="n"/>
      <c r="D90" s="80" t="n"/>
      <c r="E90" s="80" t="n"/>
      <c r="F90" s="80" t="n"/>
      <c r="G90" s="80" t="n"/>
      <c r="H90" s="80" t="n"/>
      <c r="I90" s="80" t="n"/>
      <c r="J90" s="80" t="n"/>
      <c r="K90" s="82">
        <f>IF($J90="","",IFERROR(VLOOKUP($J90,'Base Settings'!$A$13:$K$19,2,FALSE),""))</f>
        <v/>
      </c>
      <c r="L90" s="139" t="n"/>
      <c r="M90" s="139" t="n"/>
      <c r="N90" s="140">
        <f>IF(OR($L90="",$M90=""),"",MAX(0,$L90-$M90))</f>
        <v/>
      </c>
      <c r="O90" s="140">
        <f>IF($J90="","",IFERROR(VLOOKUP($J90,'Base Settings'!$A$13:$K$19,3,FALSE),0))</f>
        <v/>
      </c>
      <c r="P90" s="140">
        <f>IF($N90="","",$N90*$O90)</f>
        <v/>
      </c>
      <c r="Q90" s="139" t="n"/>
      <c r="R90" s="139" t="n"/>
      <c r="S90" s="139" t="n"/>
      <c r="T90" s="139" t="n"/>
      <c r="U90" s="140">
        <f>IF($J90="","",IFERROR($N90*VLOOKUP($J90,'Base Settings'!$A$13:$K$19,4,FALSE),0))</f>
        <v/>
      </c>
      <c r="V90" s="140">
        <f>IFERROR($N90/$S90,"")</f>
        <v/>
      </c>
      <c r="W90" s="140">
        <f>IFERROR($N90/$T90,"")</f>
        <v/>
      </c>
      <c r="X90" s="80" t="n"/>
      <c r="Y90" s="80" t="n"/>
    </row>
    <row r="91">
      <c r="A91" s="80" t="n"/>
      <c r="B91" s="138" t="n"/>
      <c r="C91" s="80" t="n"/>
      <c r="D91" s="80" t="n"/>
      <c r="E91" s="80" t="n"/>
      <c r="F91" s="80" t="n"/>
      <c r="G91" s="80" t="n"/>
      <c r="H91" s="80" t="n"/>
      <c r="I91" s="80" t="n"/>
      <c r="J91" s="80" t="n"/>
      <c r="K91" s="82">
        <f>IF($J91="","",IFERROR(VLOOKUP($J91,'Base Settings'!$A$13:$K$19,2,FALSE),""))</f>
        <v/>
      </c>
      <c r="L91" s="139" t="n"/>
      <c r="M91" s="139" t="n"/>
      <c r="N91" s="140">
        <f>IF(OR($L91="",$M91=""),"",MAX(0,$L91-$M91))</f>
        <v/>
      </c>
      <c r="O91" s="140">
        <f>IF($J91="","",IFERROR(VLOOKUP($J91,'Base Settings'!$A$13:$K$19,3,FALSE),0))</f>
        <v/>
      </c>
      <c r="P91" s="140">
        <f>IF($N91="","",$N91*$O91)</f>
        <v/>
      </c>
      <c r="Q91" s="139" t="n"/>
      <c r="R91" s="139" t="n"/>
      <c r="S91" s="139" t="n"/>
      <c r="T91" s="139" t="n"/>
      <c r="U91" s="140">
        <f>IF($J91="","",IFERROR($N91*VLOOKUP($J91,'Base Settings'!$A$13:$K$19,4,FALSE),0))</f>
        <v/>
      </c>
      <c r="V91" s="140">
        <f>IFERROR($N91/$S91,"")</f>
        <v/>
      </c>
      <c r="W91" s="140">
        <f>IFERROR($N91/$T91,"")</f>
        <v/>
      </c>
      <c r="X91" s="80" t="n"/>
      <c r="Y91" s="80" t="n"/>
    </row>
    <row r="92">
      <c r="A92" s="80" t="n"/>
      <c r="B92" s="138" t="n"/>
      <c r="C92" s="80" t="n"/>
      <c r="D92" s="80" t="n"/>
      <c r="E92" s="80" t="n"/>
      <c r="F92" s="80" t="n"/>
      <c r="G92" s="80" t="n"/>
      <c r="H92" s="80" t="n"/>
      <c r="I92" s="80" t="n"/>
      <c r="J92" s="80" t="n"/>
      <c r="K92" s="82">
        <f>IF($J92="","",IFERROR(VLOOKUP($J92,'Base Settings'!$A$13:$K$19,2,FALSE),""))</f>
        <v/>
      </c>
      <c r="L92" s="139" t="n"/>
      <c r="M92" s="139" t="n"/>
      <c r="N92" s="140">
        <f>IF(OR($L92="",$M92=""),"",MAX(0,$L92-$M92))</f>
        <v/>
      </c>
      <c r="O92" s="140">
        <f>IF($J92="","",IFERROR(VLOOKUP($J92,'Base Settings'!$A$13:$K$19,3,FALSE),0))</f>
        <v/>
      </c>
      <c r="P92" s="140">
        <f>IF($N92="","",$N92*$O92)</f>
        <v/>
      </c>
      <c r="Q92" s="139" t="n"/>
      <c r="R92" s="139" t="n"/>
      <c r="S92" s="139" t="n"/>
      <c r="T92" s="139" t="n"/>
      <c r="U92" s="140">
        <f>IF($J92="","",IFERROR($N92*VLOOKUP($J92,'Base Settings'!$A$13:$K$19,4,FALSE),0))</f>
        <v/>
      </c>
      <c r="V92" s="140">
        <f>IFERROR($N92/$S92,"")</f>
        <v/>
      </c>
      <c r="W92" s="140">
        <f>IFERROR($N92/$T92,"")</f>
        <v/>
      </c>
      <c r="X92" s="80" t="n"/>
      <c r="Y92" s="80" t="n"/>
    </row>
    <row r="93">
      <c r="A93" s="80" t="n"/>
      <c r="B93" s="138" t="n"/>
      <c r="C93" s="80" t="n"/>
      <c r="D93" s="80" t="n"/>
      <c r="E93" s="80" t="n"/>
      <c r="F93" s="80" t="n"/>
      <c r="G93" s="80" t="n"/>
      <c r="H93" s="80" t="n"/>
      <c r="I93" s="80" t="n"/>
      <c r="J93" s="80" t="n"/>
      <c r="K93" s="82">
        <f>IF($J93="","",IFERROR(VLOOKUP($J93,'Base Settings'!$A$13:$K$19,2,FALSE),""))</f>
        <v/>
      </c>
      <c r="L93" s="139" t="n"/>
      <c r="M93" s="139" t="n"/>
      <c r="N93" s="140">
        <f>IF(OR($L93="",$M93=""),"",MAX(0,$L93-$M93))</f>
        <v/>
      </c>
      <c r="O93" s="140">
        <f>IF($J93="","",IFERROR(VLOOKUP($J93,'Base Settings'!$A$13:$K$19,3,FALSE),0))</f>
        <v/>
      </c>
      <c r="P93" s="140">
        <f>IF($N93="","",$N93*$O93)</f>
        <v/>
      </c>
      <c r="Q93" s="139" t="n"/>
      <c r="R93" s="139" t="n"/>
      <c r="S93" s="139" t="n"/>
      <c r="T93" s="139" t="n"/>
      <c r="U93" s="140">
        <f>IF($J93="","",IFERROR($N93*VLOOKUP($J93,'Base Settings'!$A$13:$K$19,4,FALSE),0))</f>
        <v/>
      </c>
      <c r="V93" s="140">
        <f>IFERROR($N93/$S93,"")</f>
        <v/>
      </c>
      <c r="W93" s="140">
        <f>IFERROR($N93/$T93,"")</f>
        <v/>
      </c>
      <c r="X93" s="80" t="n"/>
      <c r="Y93" s="80" t="n"/>
    </row>
    <row r="94">
      <c r="A94" s="80" t="n"/>
      <c r="B94" s="138" t="n"/>
      <c r="C94" s="80" t="n"/>
      <c r="D94" s="80" t="n"/>
      <c r="E94" s="80" t="n"/>
      <c r="F94" s="80" t="n"/>
      <c r="G94" s="80" t="n"/>
      <c r="H94" s="80" t="n"/>
      <c r="I94" s="80" t="n"/>
      <c r="J94" s="80" t="n"/>
      <c r="K94" s="82">
        <f>IF($J94="","",IFERROR(VLOOKUP($J94,'Base Settings'!$A$13:$K$19,2,FALSE),""))</f>
        <v/>
      </c>
      <c r="L94" s="139" t="n"/>
      <c r="M94" s="139" t="n"/>
      <c r="N94" s="140">
        <f>IF(OR($L94="",$M94=""),"",MAX(0,$L94-$M94))</f>
        <v/>
      </c>
      <c r="O94" s="140">
        <f>IF($J94="","",IFERROR(VLOOKUP($J94,'Base Settings'!$A$13:$K$19,3,FALSE),0))</f>
        <v/>
      </c>
      <c r="P94" s="140">
        <f>IF($N94="","",$N94*$O94)</f>
        <v/>
      </c>
      <c r="Q94" s="139" t="n"/>
      <c r="R94" s="139" t="n"/>
      <c r="S94" s="139" t="n"/>
      <c r="T94" s="139" t="n"/>
      <c r="U94" s="140">
        <f>IF($J94="","",IFERROR($N94*VLOOKUP($J94,'Base Settings'!$A$13:$K$19,4,FALSE),0))</f>
        <v/>
      </c>
      <c r="V94" s="140">
        <f>IFERROR($N94/$S94,"")</f>
        <v/>
      </c>
      <c r="W94" s="140">
        <f>IFERROR($N94/$T94,"")</f>
        <v/>
      </c>
      <c r="X94" s="80" t="n"/>
      <c r="Y94" s="80" t="n"/>
    </row>
    <row r="95">
      <c r="A95" s="80" t="n"/>
      <c r="B95" s="138" t="n"/>
      <c r="C95" s="80" t="n"/>
      <c r="D95" s="80" t="n"/>
      <c r="E95" s="80" t="n"/>
      <c r="F95" s="80" t="n"/>
      <c r="G95" s="80" t="n"/>
      <c r="H95" s="80" t="n"/>
      <c r="I95" s="80" t="n"/>
      <c r="J95" s="80" t="n"/>
      <c r="K95" s="82">
        <f>IF($J95="","",IFERROR(VLOOKUP($J95,'Base Settings'!$A$13:$K$19,2,FALSE),""))</f>
        <v/>
      </c>
      <c r="L95" s="139" t="n"/>
      <c r="M95" s="139" t="n"/>
      <c r="N95" s="140">
        <f>IF(OR($L95="",$M95=""),"",MAX(0,$L95-$M95))</f>
        <v/>
      </c>
      <c r="O95" s="140">
        <f>IF($J95="","",IFERROR(VLOOKUP($J95,'Base Settings'!$A$13:$K$19,3,FALSE),0))</f>
        <v/>
      </c>
      <c r="P95" s="140">
        <f>IF($N95="","",$N95*$O95)</f>
        <v/>
      </c>
      <c r="Q95" s="139" t="n"/>
      <c r="R95" s="139" t="n"/>
      <c r="S95" s="139" t="n"/>
      <c r="T95" s="139" t="n"/>
      <c r="U95" s="140">
        <f>IF($J95="","",IFERROR($N95*VLOOKUP($J95,'Base Settings'!$A$13:$K$19,4,FALSE),0))</f>
        <v/>
      </c>
      <c r="V95" s="140">
        <f>IFERROR($N95/$S95,"")</f>
        <v/>
      </c>
      <c r="W95" s="140">
        <f>IFERROR($N95/$T95,"")</f>
        <v/>
      </c>
      <c r="X95" s="80" t="n"/>
      <c r="Y95" s="80" t="n"/>
    </row>
    <row r="96">
      <c r="A96" s="80" t="n"/>
      <c r="B96" s="138" t="n"/>
      <c r="C96" s="80" t="n"/>
      <c r="D96" s="80" t="n"/>
      <c r="E96" s="80" t="n"/>
      <c r="F96" s="80" t="n"/>
      <c r="G96" s="80" t="n"/>
      <c r="H96" s="80" t="n"/>
      <c r="I96" s="80" t="n"/>
      <c r="J96" s="80" t="n"/>
      <c r="K96" s="82">
        <f>IF($J96="","",IFERROR(VLOOKUP($J96,'Base Settings'!$A$13:$K$19,2,FALSE),""))</f>
        <v/>
      </c>
      <c r="L96" s="139" t="n"/>
      <c r="M96" s="139" t="n"/>
      <c r="N96" s="140">
        <f>IF(OR($L96="",$M96=""),"",MAX(0,$L96-$M96))</f>
        <v/>
      </c>
      <c r="O96" s="140">
        <f>IF($J96="","",IFERROR(VLOOKUP($J96,'Base Settings'!$A$13:$K$19,3,FALSE),0))</f>
        <v/>
      </c>
      <c r="P96" s="140">
        <f>IF($N96="","",$N96*$O96)</f>
        <v/>
      </c>
      <c r="Q96" s="139" t="n"/>
      <c r="R96" s="139" t="n"/>
      <c r="S96" s="139" t="n"/>
      <c r="T96" s="139" t="n"/>
      <c r="U96" s="140">
        <f>IF($J96="","",IFERROR($N96*VLOOKUP($J96,'Base Settings'!$A$13:$K$19,4,FALSE),0))</f>
        <v/>
      </c>
      <c r="V96" s="140">
        <f>IFERROR($N96/$S96,"")</f>
        <v/>
      </c>
      <c r="W96" s="140">
        <f>IFERROR($N96/$T96,"")</f>
        <v/>
      </c>
      <c r="X96" s="80" t="n"/>
      <c r="Y96" s="80" t="n"/>
    </row>
    <row r="97">
      <c r="A97" s="80" t="n"/>
      <c r="B97" s="138" t="n"/>
      <c r="C97" s="80" t="n"/>
      <c r="D97" s="80" t="n"/>
      <c r="E97" s="80" t="n"/>
      <c r="F97" s="80" t="n"/>
      <c r="G97" s="80" t="n"/>
      <c r="H97" s="80" t="n"/>
      <c r="I97" s="80" t="n"/>
      <c r="J97" s="80" t="n"/>
      <c r="K97" s="82">
        <f>IF($J97="","",IFERROR(VLOOKUP($J97,'Base Settings'!$A$13:$K$19,2,FALSE),""))</f>
        <v/>
      </c>
      <c r="L97" s="139" t="n"/>
      <c r="M97" s="139" t="n"/>
      <c r="N97" s="140">
        <f>IF(OR($L97="",$M97=""),"",MAX(0,$L97-$M97))</f>
        <v/>
      </c>
      <c r="O97" s="140">
        <f>IF($J97="","",IFERROR(VLOOKUP($J97,'Base Settings'!$A$13:$K$19,3,FALSE),0))</f>
        <v/>
      </c>
      <c r="P97" s="140">
        <f>IF($N97="","",$N97*$O97)</f>
        <v/>
      </c>
      <c r="Q97" s="139" t="n"/>
      <c r="R97" s="139" t="n"/>
      <c r="S97" s="139" t="n"/>
      <c r="T97" s="139" t="n"/>
      <c r="U97" s="140">
        <f>IF($J97="","",IFERROR($N97*VLOOKUP($J97,'Base Settings'!$A$13:$K$19,4,FALSE),0))</f>
        <v/>
      </c>
      <c r="V97" s="140">
        <f>IFERROR($N97/$S97,"")</f>
        <v/>
      </c>
      <c r="W97" s="140">
        <f>IFERROR($N97/$T97,"")</f>
        <v/>
      </c>
      <c r="X97" s="80" t="n"/>
      <c r="Y97" s="80" t="n"/>
    </row>
    <row r="98">
      <c r="A98" s="80" t="n"/>
      <c r="B98" s="138" t="n"/>
      <c r="C98" s="80" t="n"/>
      <c r="D98" s="80" t="n"/>
      <c r="E98" s="80" t="n"/>
      <c r="F98" s="80" t="n"/>
      <c r="G98" s="80" t="n"/>
      <c r="H98" s="80" t="n"/>
      <c r="I98" s="80" t="n"/>
      <c r="J98" s="80" t="n"/>
      <c r="K98" s="82">
        <f>IF($J98="","",IFERROR(VLOOKUP($J98,'Base Settings'!$A$13:$K$19,2,FALSE),""))</f>
        <v/>
      </c>
      <c r="L98" s="139" t="n"/>
      <c r="M98" s="139" t="n"/>
      <c r="N98" s="140">
        <f>IF(OR($L98="",$M98=""),"",MAX(0,$L98-$M98))</f>
        <v/>
      </c>
      <c r="O98" s="140">
        <f>IF($J98="","",IFERROR(VLOOKUP($J98,'Base Settings'!$A$13:$K$19,3,FALSE),0))</f>
        <v/>
      </c>
      <c r="P98" s="140">
        <f>IF($N98="","",$N98*$O98)</f>
        <v/>
      </c>
      <c r="Q98" s="139" t="n"/>
      <c r="R98" s="139" t="n"/>
      <c r="S98" s="139" t="n"/>
      <c r="T98" s="139" t="n"/>
      <c r="U98" s="140">
        <f>IF($J98="","",IFERROR($N98*VLOOKUP($J98,'Base Settings'!$A$13:$K$19,4,FALSE),0))</f>
        <v/>
      </c>
      <c r="V98" s="140">
        <f>IFERROR($N98/$S98,"")</f>
        <v/>
      </c>
      <c r="W98" s="140">
        <f>IFERROR($N98/$T98,"")</f>
        <v/>
      </c>
      <c r="X98" s="80" t="n"/>
      <c r="Y98" s="80" t="n"/>
    </row>
    <row r="99">
      <c r="A99" s="80" t="n"/>
      <c r="B99" s="138" t="n"/>
      <c r="C99" s="80" t="n"/>
      <c r="D99" s="80" t="n"/>
      <c r="E99" s="80" t="n"/>
      <c r="F99" s="80" t="n"/>
      <c r="G99" s="80" t="n"/>
      <c r="H99" s="80" t="n"/>
      <c r="I99" s="80" t="n"/>
      <c r="J99" s="80" t="n"/>
      <c r="K99" s="82">
        <f>IF($J99="","",IFERROR(VLOOKUP($J99,'Base Settings'!$A$13:$K$19,2,FALSE),""))</f>
        <v/>
      </c>
      <c r="L99" s="139" t="n"/>
      <c r="M99" s="139" t="n"/>
      <c r="N99" s="140">
        <f>IF(OR($L99="",$M99=""),"",MAX(0,$L99-$M99))</f>
        <v/>
      </c>
      <c r="O99" s="140">
        <f>IF($J99="","",IFERROR(VLOOKUP($J99,'Base Settings'!$A$13:$K$19,3,FALSE),0))</f>
        <v/>
      </c>
      <c r="P99" s="140">
        <f>IF($N99="","",$N99*$O99)</f>
        <v/>
      </c>
      <c r="Q99" s="139" t="n"/>
      <c r="R99" s="139" t="n"/>
      <c r="S99" s="139" t="n"/>
      <c r="T99" s="139" t="n"/>
      <c r="U99" s="140">
        <f>IF($J99="","",IFERROR($N99*VLOOKUP($J99,'Base Settings'!$A$13:$K$19,4,FALSE),0))</f>
        <v/>
      </c>
      <c r="V99" s="140">
        <f>IFERROR($N99/$S99,"")</f>
        <v/>
      </c>
      <c r="W99" s="140">
        <f>IFERROR($N99/$T99,"")</f>
        <v/>
      </c>
      <c r="X99" s="80" t="n"/>
      <c r="Y99" s="80" t="n"/>
    </row>
    <row r="100">
      <c r="A100" s="80" t="n"/>
      <c r="B100" s="138" t="n"/>
      <c r="C100" s="80" t="n"/>
      <c r="D100" s="80" t="n"/>
      <c r="E100" s="80" t="n"/>
      <c r="F100" s="80" t="n"/>
      <c r="G100" s="80" t="n"/>
      <c r="H100" s="80" t="n"/>
      <c r="I100" s="80" t="n"/>
      <c r="J100" s="80" t="n"/>
      <c r="K100" s="82">
        <f>IF($J100="","",IFERROR(VLOOKUP($J100,'Base Settings'!$A$13:$K$19,2,FALSE),""))</f>
        <v/>
      </c>
      <c r="L100" s="139" t="n"/>
      <c r="M100" s="139" t="n"/>
      <c r="N100" s="140">
        <f>IF(OR($L100="",$M100=""),"",MAX(0,$L100-$M100))</f>
        <v/>
      </c>
      <c r="O100" s="140">
        <f>IF($J100="","",IFERROR(VLOOKUP($J100,'Base Settings'!$A$13:$K$19,3,FALSE),0))</f>
        <v/>
      </c>
      <c r="P100" s="140">
        <f>IF($N100="","",$N100*$O100)</f>
        <v/>
      </c>
      <c r="Q100" s="139" t="n"/>
      <c r="R100" s="139" t="n"/>
      <c r="S100" s="139" t="n"/>
      <c r="T100" s="139" t="n"/>
      <c r="U100" s="140">
        <f>IF($J100="","",IFERROR($N100*VLOOKUP($J100,'Base Settings'!$A$13:$K$19,4,FALSE),0))</f>
        <v/>
      </c>
      <c r="V100" s="140">
        <f>IFERROR($N100/$S100,"")</f>
        <v/>
      </c>
      <c r="W100" s="140">
        <f>IFERROR($N100/$T100,"")</f>
        <v/>
      </c>
      <c r="X100" s="80" t="n"/>
      <c r="Y100" s="80" t="n"/>
    </row>
    <row r="101">
      <c r="A101" s="80" t="n"/>
      <c r="B101" s="138" t="n"/>
      <c r="C101" s="80" t="n"/>
      <c r="D101" s="80" t="n"/>
      <c r="E101" s="80" t="n"/>
      <c r="F101" s="80" t="n"/>
      <c r="G101" s="80" t="n"/>
      <c r="H101" s="80" t="n"/>
      <c r="I101" s="80" t="n"/>
      <c r="J101" s="80" t="n"/>
      <c r="K101" s="82">
        <f>IF($J101="","",IFERROR(VLOOKUP($J101,'Base Settings'!$A$13:$K$19,2,FALSE),""))</f>
        <v/>
      </c>
      <c r="L101" s="139" t="n"/>
      <c r="M101" s="139" t="n"/>
      <c r="N101" s="140">
        <f>IF(OR($L101="",$M101=""),"",MAX(0,$L101-$M101))</f>
        <v/>
      </c>
      <c r="O101" s="140">
        <f>IF($J101="","",IFERROR(VLOOKUP($J101,'Base Settings'!$A$13:$K$19,3,FALSE),0))</f>
        <v/>
      </c>
      <c r="P101" s="140">
        <f>IF($N101="","",$N101*$O101)</f>
        <v/>
      </c>
      <c r="Q101" s="139" t="n"/>
      <c r="R101" s="139" t="n"/>
      <c r="S101" s="139" t="n"/>
      <c r="T101" s="139" t="n"/>
      <c r="U101" s="140">
        <f>IF($J101="","",IFERROR($N101*VLOOKUP($J101,'Base Settings'!$A$13:$K$19,4,FALSE),0))</f>
        <v/>
      </c>
      <c r="V101" s="140">
        <f>IFERROR($N101/$S101,"")</f>
        <v/>
      </c>
      <c r="W101" s="140">
        <f>IFERROR($N101/$T101,"")</f>
        <v/>
      </c>
      <c r="X101" s="80" t="n"/>
      <c r="Y101" s="80" t="n"/>
    </row>
    <row r="102">
      <c r="A102" s="80" t="n"/>
      <c r="B102" s="138" t="n"/>
      <c r="C102" s="80" t="n"/>
      <c r="D102" s="80" t="n"/>
      <c r="E102" s="80" t="n"/>
      <c r="F102" s="80" t="n"/>
      <c r="G102" s="80" t="n"/>
      <c r="H102" s="80" t="n"/>
      <c r="I102" s="80" t="n"/>
      <c r="J102" s="80" t="n"/>
      <c r="K102" s="82">
        <f>IF($J102="","",IFERROR(VLOOKUP($J102,'Base Settings'!$A$13:$K$19,2,FALSE),""))</f>
        <v/>
      </c>
      <c r="L102" s="139" t="n"/>
      <c r="M102" s="139" t="n"/>
      <c r="N102" s="140">
        <f>IF(OR($L102="",$M102=""),"",MAX(0,$L102-$M102))</f>
        <v/>
      </c>
      <c r="O102" s="140">
        <f>IF($J102="","",IFERROR(VLOOKUP($J102,'Base Settings'!$A$13:$K$19,3,FALSE),0))</f>
        <v/>
      </c>
      <c r="P102" s="140">
        <f>IF($N102="","",$N102*$O102)</f>
        <v/>
      </c>
      <c r="Q102" s="139" t="n"/>
      <c r="R102" s="139" t="n"/>
      <c r="S102" s="139" t="n"/>
      <c r="T102" s="139" t="n"/>
      <c r="U102" s="140">
        <f>IF($J102="","",IFERROR($N102*VLOOKUP($J102,'Base Settings'!$A$13:$K$19,4,FALSE),0))</f>
        <v/>
      </c>
      <c r="V102" s="140">
        <f>IFERROR($N102/$S102,"")</f>
        <v/>
      </c>
      <c r="W102" s="140">
        <f>IFERROR($N102/$T102,"")</f>
        <v/>
      </c>
      <c r="X102" s="80" t="n"/>
      <c r="Y102" s="80" t="n"/>
    </row>
    <row r="103">
      <c r="A103" s="80" t="n"/>
      <c r="B103" s="138" t="n"/>
      <c r="C103" s="80" t="n"/>
      <c r="D103" s="80" t="n"/>
      <c r="E103" s="80" t="n"/>
      <c r="F103" s="80" t="n"/>
      <c r="G103" s="80" t="n"/>
      <c r="H103" s="80" t="n"/>
      <c r="I103" s="80" t="n"/>
      <c r="J103" s="80" t="n"/>
      <c r="K103" s="82">
        <f>IF($J103="","",IFERROR(VLOOKUP($J103,'Base Settings'!$A$13:$K$19,2,FALSE),""))</f>
        <v/>
      </c>
      <c r="L103" s="139" t="n"/>
      <c r="M103" s="139" t="n"/>
      <c r="N103" s="140">
        <f>IF(OR($L103="",$M103=""),"",MAX(0,$L103-$M103))</f>
        <v/>
      </c>
      <c r="O103" s="140">
        <f>IF($J103="","",IFERROR(VLOOKUP($J103,'Base Settings'!$A$13:$K$19,3,FALSE),0))</f>
        <v/>
      </c>
      <c r="P103" s="140">
        <f>IF($N103="","",$N103*$O103)</f>
        <v/>
      </c>
      <c r="Q103" s="139" t="n"/>
      <c r="R103" s="139" t="n"/>
      <c r="S103" s="139" t="n"/>
      <c r="T103" s="139" t="n"/>
      <c r="U103" s="140">
        <f>IF($J103="","",IFERROR($N103*VLOOKUP($J103,'Base Settings'!$A$13:$K$19,4,FALSE),0))</f>
        <v/>
      </c>
      <c r="V103" s="140">
        <f>IFERROR($N103/$S103,"")</f>
        <v/>
      </c>
      <c r="W103" s="140">
        <f>IFERROR($N103/$T103,"")</f>
        <v/>
      </c>
      <c r="X103" s="80" t="n"/>
      <c r="Y103" s="80" t="n"/>
    </row>
    <row r="104">
      <c r="A104" s="80" t="n"/>
      <c r="B104" s="138" t="n"/>
      <c r="C104" s="80" t="n"/>
      <c r="D104" s="80" t="n"/>
      <c r="E104" s="80" t="n"/>
      <c r="F104" s="80" t="n"/>
      <c r="G104" s="80" t="n"/>
      <c r="H104" s="80" t="n"/>
      <c r="I104" s="80" t="n"/>
      <c r="J104" s="80" t="n"/>
      <c r="K104" s="82">
        <f>IF($J104="","",IFERROR(VLOOKUP($J104,'Base Settings'!$A$13:$K$19,2,FALSE),""))</f>
        <v/>
      </c>
      <c r="L104" s="139" t="n"/>
      <c r="M104" s="139" t="n"/>
      <c r="N104" s="140">
        <f>IF(OR($L104="",$M104=""),"",MAX(0,$L104-$M104))</f>
        <v/>
      </c>
      <c r="O104" s="140">
        <f>IF($J104="","",IFERROR(VLOOKUP($J104,'Base Settings'!$A$13:$K$19,3,FALSE),0))</f>
        <v/>
      </c>
      <c r="P104" s="140">
        <f>IF($N104="","",$N104*$O104)</f>
        <v/>
      </c>
      <c r="Q104" s="139" t="n"/>
      <c r="R104" s="139" t="n"/>
      <c r="S104" s="139" t="n"/>
      <c r="T104" s="139" t="n"/>
      <c r="U104" s="140">
        <f>IF($J104="","",IFERROR($N104*VLOOKUP($J104,'Base Settings'!$A$13:$K$19,4,FALSE),0))</f>
        <v/>
      </c>
      <c r="V104" s="140">
        <f>IFERROR($N104/$S104,"")</f>
        <v/>
      </c>
      <c r="W104" s="140">
        <f>IFERROR($N104/$T104,"")</f>
        <v/>
      </c>
      <c r="X104" s="80" t="n"/>
      <c r="Y104" s="80" t="n"/>
    </row>
    <row r="105">
      <c r="A105" s="80" t="n"/>
      <c r="B105" s="138" t="n"/>
      <c r="C105" s="80" t="n"/>
      <c r="D105" s="80" t="n"/>
      <c r="E105" s="80" t="n"/>
      <c r="F105" s="80" t="n"/>
      <c r="G105" s="80" t="n"/>
      <c r="H105" s="80" t="n"/>
      <c r="I105" s="80" t="n"/>
      <c r="J105" s="80" t="n"/>
      <c r="K105" s="82">
        <f>IF($J105="","",IFERROR(VLOOKUP($J105,'Base Settings'!$A$13:$K$19,2,FALSE),""))</f>
        <v/>
      </c>
      <c r="L105" s="139" t="n"/>
      <c r="M105" s="139" t="n"/>
      <c r="N105" s="140">
        <f>IF(OR($L105="",$M105=""),"",MAX(0,$L105-$M105))</f>
        <v/>
      </c>
      <c r="O105" s="140">
        <f>IF($J105="","",IFERROR(VLOOKUP($J105,'Base Settings'!$A$13:$K$19,3,FALSE),0))</f>
        <v/>
      </c>
      <c r="P105" s="140">
        <f>IF($N105="","",$N105*$O105)</f>
        <v/>
      </c>
      <c r="Q105" s="139" t="n"/>
      <c r="R105" s="139" t="n"/>
      <c r="S105" s="139" t="n"/>
      <c r="T105" s="139" t="n"/>
      <c r="U105" s="140">
        <f>IF($J105="","",IFERROR($N105*VLOOKUP($J105,'Base Settings'!$A$13:$K$19,4,FALSE),0))</f>
        <v/>
      </c>
      <c r="V105" s="140">
        <f>IFERROR($N105/$S105,"")</f>
        <v/>
      </c>
      <c r="W105" s="140">
        <f>IFERROR($N105/$T105,"")</f>
        <v/>
      </c>
      <c r="X105" s="80" t="n"/>
      <c r="Y105" s="80" t="n"/>
    </row>
    <row r="106">
      <c r="A106" s="80" t="n"/>
      <c r="B106" s="138" t="n"/>
      <c r="C106" s="80" t="n"/>
      <c r="D106" s="80" t="n"/>
      <c r="E106" s="80" t="n"/>
      <c r="F106" s="80" t="n"/>
      <c r="G106" s="80" t="n"/>
      <c r="H106" s="80" t="n"/>
      <c r="I106" s="80" t="n"/>
      <c r="J106" s="80" t="n"/>
      <c r="K106" s="82">
        <f>IF($J106="","",IFERROR(VLOOKUP($J106,'Base Settings'!$A$13:$K$19,2,FALSE),""))</f>
        <v/>
      </c>
      <c r="L106" s="139" t="n"/>
      <c r="M106" s="139" t="n"/>
      <c r="N106" s="140">
        <f>IF(OR($L106="",$M106=""),"",MAX(0,$L106-$M106))</f>
        <v/>
      </c>
      <c r="O106" s="140">
        <f>IF($J106="","",IFERROR(VLOOKUP($J106,'Base Settings'!$A$13:$K$19,3,FALSE),0))</f>
        <v/>
      </c>
      <c r="P106" s="140">
        <f>IF($N106="","",$N106*$O106)</f>
        <v/>
      </c>
      <c r="Q106" s="139" t="n"/>
      <c r="R106" s="139" t="n"/>
      <c r="S106" s="139" t="n"/>
      <c r="T106" s="139" t="n"/>
      <c r="U106" s="140">
        <f>IF($J106="","",IFERROR($N106*VLOOKUP($J106,'Base Settings'!$A$13:$K$19,4,FALSE),0))</f>
        <v/>
      </c>
      <c r="V106" s="140">
        <f>IFERROR($N106/$S106,"")</f>
        <v/>
      </c>
      <c r="W106" s="140">
        <f>IFERROR($N106/$T106,"")</f>
        <v/>
      </c>
      <c r="X106" s="80" t="n"/>
      <c r="Y106" s="80" t="n"/>
    </row>
    <row r="107">
      <c r="A107" s="80" t="n"/>
      <c r="B107" s="138" t="n"/>
      <c r="C107" s="80" t="n"/>
      <c r="D107" s="80" t="n"/>
      <c r="E107" s="80" t="n"/>
      <c r="F107" s="80" t="n"/>
      <c r="G107" s="80" t="n"/>
      <c r="H107" s="80" t="n"/>
      <c r="I107" s="80" t="n"/>
      <c r="J107" s="80" t="n"/>
      <c r="K107" s="82">
        <f>IF($J107="","",IFERROR(VLOOKUP($J107,'Base Settings'!$A$13:$K$19,2,FALSE),""))</f>
        <v/>
      </c>
      <c r="L107" s="139" t="n"/>
      <c r="M107" s="139" t="n"/>
      <c r="N107" s="140">
        <f>IF(OR($L107="",$M107=""),"",MAX(0,$L107-$M107))</f>
        <v/>
      </c>
      <c r="O107" s="140">
        <f>IF($J107="","",IFERROR(VLOOKUP($J107,'Base Settings'!$A$13:$K$19,3,FALSE),0))</f>
        <v/>
      </c>
      <c r="P107" s="140">
        <f>IF($N107="","",$N107*$O107)</f>
        <v/>
      </c>
      <c r="Q107" s="139" t="n"/>
      <c r="R107" s="139" t="n"/>
      <c r="S107" s="139" t="n"/>
      <c r="T107" s="139" t="n"/>
      <c r="U107" s="140">
        <f>IF($J107="","",IFERROR($N107*VLOOKUP($J107,'Base Settings'!$A$13:$K$19,4,FALSE),0))</f>
        <v/>
      </c>
      <c r="V107" s="140">
        <f>IFERROR($N107/$S107,"")</f>
        <v/>
      </c>
      <c r="W107" s="140">
        <f>IFERROR($N107/$T107,"")</f>
        <v/>
      </c>
      <c r="X107" s="80" t="n"/>
      <c r="Y107" s="80" t="n"/>
    </row>
    <row r="108">
      <c r="A108" s="80" t="n"/>
      <c r="B108" s="138" t="n"/>
      <c r="C108" s="80" t="n"/>
      <c r="D108" s="80" t="n"/>
      <c r="E108" s="80" t="n"/>
      <c r="F108" s="80" t="n"/>
      <c r="G108" s="80" t="n"/>
      <c r="H108" s="80" t="n"/>
      <c r="I108" s="80" t="n"/>
      <c r="J108" s="80" t="n"/>
      <c r="K108" s="82">
        <f>IF($J108="","",IFERROR(VLOOKUP($J108,'Base Settings'!$A$13:$K$19,2,FALSE),""))</f>
        <v/>
      </c>
      <c r="L108" s="139" t="n"/>
      <c r="M108" s="139" t="n"/>
      <c r="N108" s="140">
        <f>IF(OR($L108="",$M108=""),"",MAX(0,$L108-$M108))</f>
        <v/>
      </c>
      <c r="O108" s="140">
        <f>IF($J108="","",IFERROR(VLOOKUP($J108,'Base Settings'!$A$13:$K$19,3,FALSE),0))</f>
        <v/>
      </c>
      <c r="P108" s="140">
        <f>IF($N108="","",$N108*$O108)</f>
        <v/>
      </c>
      <c r="Q108" s="139" t="n"/>
      <c r="R108" s="139" t="n"/>
      <c r="S108" s="139" t="n"/>
      <c r="T108" s="139" t="n"/>
      <c r="U108" s="140">
        <f>IF($J108="","",IFERROR($N108*VLOOKUP($J108,'Base Settings'!$A$13:$K$19,4,FALSE),0))</f>
        <v/>
      </c>
      <c r="V108" s="140">
        <f>IFERROR($N108/$S108,"")</f>
        <v/>
      </c>
      <c r="W108" s="140">
        <f>IFERROR($N108/$T108,"")</f>
        <v/>
      </c>
      <c r="X108" s="80" t="n"/>
      <c r="Y108" s="80" t="n"/>
    </row>
    <row r="109">
      <c r="A109" s="80" t="n"/>
      <c r="B109" s="138" t="n"/>
      <c r="C109" s="80" t="n"/>
      <c r="D109" s="80" t="n"/>
      <c r="E109" s="80" t="n"/>
      <c r="F109" s="80" t="n"/>
      <c r="G109" s="80" t="n"/>
      <c r="H109" s="80" t="n"/>
      <c r="I109" s="80" t="n"/>
      <c r="J109" s="80" t="n"/>
      <c r="K109" s="82">
        <f>IF($J109="","",IFERROR(VLOOKUP($J109,'Base Settings'!$A$13:$K$19,2,FALSE),""))</f>
        <v/>
      </c>
      <c r="L109" s="139" t="n"/>
      <c r="M109" s="139" t="n"/>
      <c r="N109" s="140">
        <f>IF(OR($L109="",$M109=""),"",MAX(0,$L109-$M109))</f>
        <v/>
      </c>
      <c r="O109" s="140">
        <f>IF($J109="","",IFERROR(VLOOKUP($J109,'Base Settings'!$A$13:$K$19,3,FALSE),0))</f>
        <v/>
      </c>
      <c r="P109" s="140">
        <f>IF($N109="","",$N109*$O109)</f>
        <v/>
      </c>
      <c r="Q109" s="139" t="n"/>
      <c r="R109" s="139" t="n"/>
      <c r="S109" s="139" t="n"/>
      <c r="T109" s="139" t="n"/>
      <c r="U109" s="140">
        <f>IF($J109="","",IFERROR($N109*VLOOKUP($J109,'Base Settings'!$A$13:$K$19,4,FALSE),0))</f>
        <v/>
      </c>
      <c r="V109" s="140">
        <f>IFERROR($N109/$S109,"")</f>
        <v/>
      </c>
      <c r="W109" s="140">
        <f>IFERROR($N109/$T109,"")</f>
        <v/>
      </c>
      <c r="X109" s="80" t="n"/>
      <c r="Y109" s="80" t="n"/>
    </row>
    <row r="110">
      <c r="A110" s="80" t="n"/>
      <c r="B110" s="138" t="n"/>
      <c r="C110" s="80" t="n"/>
      <c r="D110" s="80" t="n"/>
      <c r="E110" s="80" t="n"/>
      <c r="F110" s="80" t="n"/>
      <c r="G110" s="80" t="n"/>
      <c r="H110" s="80" t="n"/>
      <c r="I110" s="80" t="n"/>
      <c r="J110" s="80" t="n"/>
      <c r="K110" s="82">
        <f>IF($J110="","",IFERROR(VLOOKUP($J110,'Base Settings'!$A$13:$K$19,2,FALSE),""))</f>
        <v/>
      </c>
      <c r="L110" s="139" t="n"/>
      <c r="M110" s="139" t="n"/>
      <c r="N110" s="140">
        <f>IF(OR($L110="",$M110=""),"",MAX(0,$L110-$M110))</f>
        <v/>
      </c>
      <c r="O110" s="140">
        <f>IF($J110="","",IFERROR(VLOOKUP($J110,'Base Settings'!$A$13:$K$19,3,FALSE),0))</f>
        <v/>
      </c>
      <c r="P110" s="140">
        <f>IF($N110="","",$N110*$O110)</f>
        <v/>
      </c>
      <c r="Q110" s="139" t="n"/>
      <c r="R110" s="139" t="n"/>
      <c r="S110" s="139" t="n"/>
      <c r="T110" s="139" t="n"/>
      <c r="U110" s="140">
        <f>IF($J110="","",IFERROR($N110*VLOOKUP($J110,'Base Settings'!$A$13:$K$19,4,FALSE),0))</f>
        <v/>
      </c>
      <c r="V110" s="140">
        <f>IFERROR($N110/$S110,"")</f>
        <v/>
      </c>
      <c r="W110" s="140">
        <f>IFERROR($N110/$T110,"")</f>
        <v/>
      </c>
      <c r="X110" s="80" t="n"/>
      <c r="Y110" s="80" t="n"/>
    </row>
    <row r="111">
      <c r="A111" s="80" t="n"/>
      <c r="B111" s="138" t="n"/>
      <c r="C111" s="80" t="n"/>
      <c r="D111" s="80" t="n"/>
      <c r="E111" s="80" t="n"/>
      <c r="F111" s="80" t="n"/>
      <c r="G111" s="80" t="n"/>
      <c r="H111" s="80" t="n"/>
      <c r="I111" s="80" t="n"/>
      <c r="J111" s="80" t="n"/>
      <c r="K111" s="82">
        <f>IF($J111="","",IFERROR(VLOOKUP($J111,'Base Settings'!$A$13:$K$19,2,FALSE),""))</f>
        <v/>
      </c>
      <c r="L111" s="139" t="n"/>
      <c r="M111" s="139" t="n"/>
      <c r="N111" s="140">
        <f>IF(OR($L111="",$M111=""),"",MAX(0,$L111-$M111))</f>
        <v/>
      </c>
      <c r="O111" s="140">
        <f>IF($J111="","",IFERROR(VLOOKUP($J111,'Base Settings'!$A$13:$K$19,3,FALSE),0))</f>
        <v/>
      </c>
      <c r="P111" s="140">
        <f>IF($N111="","",$N111*$O111)</f>
        <v/>
      </c>
      <c r="Q111" s="139" t="n"/>
      <c r="R111" s="139" t="n"/>
      <c r="S111" s="139" t="n"/>
      <c r="T111" s="139" t="n"/>
      <c r="U111" s="140">
        <f>IF($J111="","",IFERROR($N111*VLOOKUP($J111,'Base Settings'!$A$13:$K$19,4,FALSE),0))</f>
        <v/>
      </c>
      <c r="V111" s="140">
        <f>IFERROR($N111/$S111,"")</f>
        <v/>
      </c>
      <c r="W111" s="140">
        <f>IFERROR($N111/$T111,"")</f>
        <v/>
      </c>
      <c r="X111" s="80" t="n"/>
      <c r="Y111" s="80" t="n"/>
    </row>
    <row r="112">
      <c r="A112" s="80" t="n"/>
      <c r="B112" s="138" t="n"/>
      <c r="C112" s="80" t="n"/>
      <c r="D112" s="80" t="n"/>
      <c r="E112" s="80" t="n"/>
      <c r="F112" s="80" t="n"/>
      <c r="G112" s="80" t="n"/>
      <c r="H112" s="80" t="n"/>
      <c r="I112" s="80" t="n"/>
      <c r="J112" s="80" t="n"/>
      <c r="K112" s="82">
        <f>IF($J112="","",IFERROR(VLOOKUP($J112,'Base Settings'!$A$13:$K$19,2,FALSE),""))</f>
        <v/>
      </c>
      <c r="L112" s="139" t="n"/>
      <c r="M112" s="139" t="n"/>
      <c r="N112" s="140">
        <f>IF(OR($L112="",$M112=""),"",MAX(0,$L112-$M112))</f>
        <v/>
      </c>
      <c r="O112" s="140">
        <f>IF($J112="","",IFERROR(VLOOKUP($J112,'Base Settings'!$A$13:$K$19,3,FALSE),0))</f>
        <v/>
      </c>
      <c r="P112" s="140">
        <f>IF($N112="","",$N112*$O112)</f>
        <v/>
      </c>
      <c r="Q112" s="139" t="n"/>
      <c r="R112" s="139" t="n"/>
      <c r="S112" s="139" t="n"/>
      <c r="T112" s="139" t="n"/>
      <c r="U112" s="140">
        <f>IF($J112="","",IFERROR($N112*VLOOKUP($J112,'Base Settings'!$A$13:$K$19,4,FALSE),0))</f>
        <v/>
      </c>
      <c r="V112" s="140">
        <f>IFERROR($N112/$S112,"")</f>
        <v/>
      </c>
      <c r="W112" s="140">
        <f>IFERROR($N112/$T112,"")</f>
        <v/>
      </c>
      <c r="X112" s="80" t="n"/>
      <c r="Y112" s="80" t="n"/>
    </row>
    <row r="113">
      <c r="A113" s="80" t="n"/>
      <c r="B113" s="138" t="n"/>
      <c r="C113" s="80" t="n"/>
      <c r="D113" s="80" t="n"/>
      <c r="E113" s="80" t="n"/>
      <c r="F113" s="80" t="n"/>
      <c r="G113" s="80" t="n"/>
      <c r="H113" s="80" t="n"/>
      <c r="I113" s="80" t="n"/>
      <c r="J113" s="80" t="n"/>
      <c r="K113" s="82">
        <f>IF($J113="","",IFERROR(VLOOKUP($J113,'Base Settings'!$A$13:$K$19,2,FALSE),""))</f>
        <v/>
      </c>
      <c r="L113" s="139" t="n"/>
      <c r="M113" s="139" t="n"/>
      <c r="N113" s="140">
        <f>IF(OR($L113="",$M113=""),"",MAX(0,$L113-$M113))</f>
        <v/>
      </c>
      <c r="O113" s="140">
        <f>IF($J113="","",IFERROR(VLOOKUP($J113,'Base Settings'!$A$13:$K$19,3,FALSE),0))</f>
        <v/>
      </c>
      <c r="P113" s="140">
        <f>IF($N113="","",$N113*$O113)</f>
        <v/>
      </c>
      <c r="Q113" s="139" t="n"/>
      <c r="R113" s="139" t="n"/>
      <c r="S113" s="139" t="n"/>
      <c r="T113" s="139" t="n"/>
      <c r="U113" s="140">
        <f>IF($J113="","",IFERROR($N113*VLOOKUP($J113,'Base Settings'!$A$13:$K$19,4,FALSE),0))</f>
        <v/>
      </c>
      <c r="V113" s="140">
        <f>IFERROR($N113/$S113,"")</f>
        <v/>
      </c>
      <c r="W113" s="140">
        <f>IFERROR($N113/$T113,"")</f>
        <v/>
      </c>
      <c r="X113" s="80" t="n"/>
      <c r="Y113" s="80" t="n"/>
    </row>
    <row r="114">
      <c r="A114" s="80" t="n"/>
      <c r="B114" s="138" t="n"/>
      <c r="C114" s="80" t="n"/>
      <c r="D114" s="80" t="n"/>
      <c r="E114" s="80" t="n"/>
      <c r="F114" s="80" t="n"/>
      <c r="G114" s="80" t="n"/>
      <c r="H114" s="80" t="n"/>
      <c r="I114" s="80" t="n"/>
      <c r="J114" s="80" t="n"/>
      <c r="K114" s="82">
        <f>IF($J114="","",IFERROR(VLOOKUP($J114,'Base Settings'!$A$13:$K$19,2,FALSE),""))</f>
        <v/>
      </c>
      <c r="L114" s="139" t="n"/>
      <c r="M114" s="139" t="n"/>
      <c r="N114" s="140">
        <f>IF(OR($L114="",$M114=""),"",MAX(0,$L114-$M114))</f>
        <v/>
      </c>
      <c r="O114" s="140">
        <f>IF($J114="","",IFERROR(VLOOKUP($J114,'Base Settings'!$A$13:$K$19,3,FALSE),0))</f>
        <v/>
      </c>
      <c r="P114" s="140">
        <f>IF($N114="","",$N114*$O114)</f>
        <v/>
      </c>
      <c r="Q114" s="139" t="n"/>
      <c r="R114" s="139" t="n"/>
      <c r="S114" s="139" t="n"/>
      <c r="T114" s="139" t="n"/>
      <c r="U114" s="140">
        <f>IF($J114="","",IFERROR($N114*VLOOKUP($J114,'Base Settings'!$A$13:$K$19,4,FALSE),0))</f>
        <v/>
      </c>
      <c r="V114" s="140">
        <f>IFERROR($N114/$S114,"")</f>
        <v/>
      </c>
      <c r="W114" s="140">
        <f>IFERROR($N114/$T114,"")</f>
        <v/>
      </c>
      <c r="X114" s="80" t="n"/>
      <c r="Y114" s="80" t="n"/>
    </row>
    <row r="115">
      <c r="A115" s="80" t="n"/>
      <c r="B115" s="138" t="n"/>
      <c r="C115" s="80" t="n"/>
      <c r="D115" s="80" t="n"/>
      <c r="E115" s="80" t="n"/>
      <c r="F115" s="80" t="n"/>
      <c r="G115" s="80" t="n"/>
      <c r="H115" s="80" t="n"/>
      <c r="I115" s="80" t="n"/>
      <c r="J115" s="80" t="n"/>
      <c r="K115" s="82">
        <f>IF($J115="","",IFERROR(VLOOKUP($J115,'Base Settings'!$A$13:$K$19,2,FALSE),""))</f>
        <v/>
      </c>
      <c r="L115" s="139" t="n"/>
      <c r="M115" s="139" t="n"/>
      <c r="N115" s="140">
        <f>IF(OR($L115="",$M115=""),"",MAX(0,$L115-$M115))</f>
        <v/>
      </c>
      <c r="O115" s="140">
        <f>IF($J115="","",IFERROR(VLOOKUP($J115,'Base Settings'!$A$13:$K$19,3,FALSE),0))</f>
        <v/>
      </c>
      <c r="P115" s="140">
        <f>IF($N115="","",$N115*$O115)</f>
        <v/>
      </c>
      <c r="Q115" s="139" t="n"/>
      <c r="R115" s="139" t="n"/>
      <c r="S115" s="139" t="n"/>
      <c r="T115" s="139" t="n"/>
      <c r="U115" s="140">
        <f>IF($J115="","",IFERROR($N115*VLOOKUP($J115,'Base Settings'!$A$13:$K$19,4,FALSE),0))</f>
        <v/>
      </c>
      <c r="V115" s="140">
        <f>IFERROR($N115/$S115,"")</f>
        <v/>
      </c>
      <c r="W115" s="140">
        <f>IFERROR($N115/$T115,"")</f>
        <v/>
      </c>
      <c r="X115" s="80" t="n"/>
      <c r="Y115" s="80" t="n"/>
    </row>
    <row r="116">
      <c r="A116" s="80" t="n"/>
      <c r="B116" s="138" t="n"/>
      <c r="C116" s="80" t="n"/>
      <c r="D116" s="80" t="n"/>
      <c r="E116" s="80" t="n"/>
      <c r="F116" s="80" t="n"/>
      <c r="G116" s="80" t="n"/>
      <c r="H116" s="80" t="n"/>
      <c r="I116" s="80" t="n"/>
      <c r="J116" s="80" t="n"/>
      <c r="K116" s="82">
        <f>IF($J116="","",IFERROR(VLOOKUP($J116,'Base Settings'!$A$13:$K$19,2,FALSE),""))</f>
        <v/>
      </c>
      <c r="L116" s="139" t="n"/>
      <c r="M116" s="139" t="n"/>
      <c r="N116" s="140">
        <f>IF(OR($L116="",$M116=""),"",MAX(0,$L116-$M116))</f>
        <v/>
      </c>
      <c r="O116" s="140">
        <f>IF($J116="","",IFERROR(VLOOKUP($J116,'Base Settings'!$A$13:$K$19,3,FALSE),0))</f>
        <v/>
      </c>
      <c r="P116" s="140">
        <f>IF($N116="","",$N116*$O116)</f>
        <v/>
      </c>
      <c r="Q116" s="139" t="n"/>
      <c r="R116" s="139" t="n"/>
      <c r="S116" s="139" t="n"/>
      <c r="T116" s="139" t="n"/>
      <c r="U116" s="140">
        <f>IF($J116="","",IFERROR($N116*VLOOKUP($J116,'Base Settings'!$A$13:$K$19,4,FALSE),0))</f>
        <v/>
      </c>
      <c r="V116" s="140">
        <f>IFERROR($N116/$S116,"")</f>
        <v/>
      </c>
      <c r="W116" s="140">
        <f>IFERROR($N116/$T116,"")</f>
        <v/>
      </c>
      <c r="X116" s="80" t="n"/>
      <c r="Y116" s="80" t="n"/>
    </row>
    <row r="117">
      <c r="A117" s="80" t="n"/>
      <c r="B117" s="138" t="n"/>
      <c r="C117" s="80" t="n"/>
      <c r="D117" s="80" t="n"/>
      <c r="E117" s="80" t="n"/>
      <c r="F117" s="80" t="n"/>
      <c r="G117" s="80" t="n"/>
      <c r="H117" s="80" t="n"/>
      <c r="I117" s="80" t="n"/>
      <c r="J117" s="80" t="n"/>
      <c r="K117" s="82">
        <f>IF($J117="","",IFERROR(VLOOKUP($J117,'Base Settings'!$A$13:$K$19,2,FALSE),""))</f>
        <v/>
      </c>
      <c r="L117" s="139" t="n"/>
      <c r="M117" s="139" t="n"/>
      <c r="N117" s="140">
        <f>IF(OR($L117="",$M117=""),"",MAX(0,$L117-$M117))</f>
        <v/>
      </c>
      <c r="O117" s="140">
        <f>IF($J117="","",IFERROR(VLOOKUP($J117,'Base Settings'!$A$13:$K$19,3,FALSE),0))</f>
        <v/>
      </c>
      <c r="P117" s="140">
        <f>IF($N117="","",$N117*$O117)</f>
        <v/>
      </c>
      <c r="Q117" s="139" t="n"/>
      <c r="R117" s="139" t="n"/>
      <c r="S117" s="139" t="n"/>
      <c r="T117" s="139" t="n"/>
      <c r="U117" s="140">
        <f>IF($J117="","",IFERROR($N117*VLOOKUP($J117,'Base Settings'!$A$13:$K$19,4,FALSE),0))</f>
        <v/>
      </c>
      <c r="V117" s="140">
        <f>IFERROR($N117/$S117,"")</f>
        <v/>
      </c>
      <c r="W117" s="140">
        <f>IFERROR($N117/$T117,"")</f>
        <v/>
      </c>
      <c r="X117" s="80" t="n"/>
      <c r="Y117" s="80" t="n"/>
    </row>
    <row r="118">
      <c r="A118" s="80" t="n"/>
      <c r="B118" s="138" t="n"/>
      <c r="C118" s="80" t="n"/>
      <c r="D118" s="80" t="n"/>
      <c r="E118" s="80" t="n"/>
      <c r="F118" s="80" t="n"/>
      <c r="G118" s="80" t="n"/>
      <c r="H118" s="80" t="n"/>
      <c r="I118" s="80" t="n"/>
      <c r="J118" s="80" t="n"/>
      <c r="K118" s="82">
        <f>IF($J118="","",IFERROR(VLOOKUP($J118,'Base Settings'!$A$13:$K$19,2,FALSE),""))</f>
        <v/>
      </c>
      <c r="L118" s="139" t="n"/>
      <c r="M118" s="139" t="n"/>
      <c r="N118" s="140">
        <f>IF(OR($L118="",$M118=""),"",MAX(0,$L118-$M118))</f>
        <v/>
      </c>
      <c r="O118" s="140">
        <f>IF($J118="","",IFERROR(VLOOKUP($J118,'Base Settings'!$A$13:$K$19,3,FALSE),0))</f>
        <v/>
      </c>
      <c r="P118" s="140">
        <f>IF($N118="","",$N118*$O118)</f>
        <v/>
      </c>
      <c r="Q118" s="139" t="n"/>
      <c r="R118" s="139" t="n"/>
      <c r="S118" s="139" t="n"/>
      <c r="T118" s="139" t="n"/>
      <c r="U118" s="140">
        <f>IF($J118="","",IFERROR($N118*VLOOKUP($J118,'Base Settings'!$A$13:$K$19,4,FALSE),0))</f>
        <v/>
      </c>
      <c r="V118" s="140">
        <f>IFERROR($N118/$S118,"")</f>
        <v/>
      </c>
      <c r="W118" s="140">
        <f>IFERROR($N118/$T118,"")</f>
        <v/>
      </c>
      <c r="X118" s="80" t="n"/>
      <c r="Y118" s="80" t="n"/>
    </row>
    <row r="119">
      <c r="A119" s="80" t="n"/>
      <c r="B119" s="138" t="n"/>
      <c r="C119" s="80" t="n"/>
      <c r="D119" s="80" t="n"/>
      <c r="E119" s="80" t="n"/>
      <c r="F119" s="80" t="n"/>
      <c r="G119" s="80" t="n"/>
      <c r="H119" s="80" t="n"/>
      <c r="I119" s="80" t="n"/>
      <c r="J119" s="80" t="n"/>
      <c r="K119" s="82">
        <f>IF($J119="","",IFERROR(VLOOKUP($J119,'Base Settings'!$A$13:$K$19,2,FALSE),""))</f>
        <v/>
      </c>
      <c r="L119" s="139" t="n"/>
      <c r="M119" s="139" t="n"/>
      <c r="N119" s="140">
        <f>IF(OR($L119="",$M119=""),"",MAX(0,$L119-$M119))</f>
        <v/>
      </c>
      <c r="O119" s="140">
        <f>IF($J119="","",IFERROR(VLOOKUP($J119,'Base Settings'!$A$13:$K$19,3,FALSE),0))</f>
        <v/>
      </c>
      <c r="P119" s="140">
        <f>IF($N119="","",$N119*$O119)</f>
        <v/>
      </c>
      <c r="Q119" s="139" t="n"/>
      <c r="R119" s="139" t="n"/>
      <c r="S119" s="139" t="n"/>
      <c r="T119" s="139" t="n"/>
      <c r="U119" s="140">
        <f>IF($J119="","",IFERROR($N119*VLOOKUP($J119,'Base Settings'!$A$13:$K$19,4,FALSE),0))</f>
        <v/>
      </c>
      <c r="V119" s="140">
        <f>IFERROR($N119/$S119,"")</f>
        <v/>
      </c>
      <c r="W119" s="140">
        <f>IFERROR($N119/$T119,"")</f>
        <v/>
      </c>
      <c r="X119" s="80" t="n"/>
      <c r="Y119" s="80" t="n"/>
    </row>
    <row r="120">
      <c r="A120" s="80" t="n"/>
      <c r="B120" s="138" t="n"/>
      <c r="C120" s="80" t="n"/>
      <c r="D120" s="80" t="n"/>
      <c r="E120" s="80" t="n"/>
      <c r="F120" s="80" t="n"/>
      <c r="G120" s="80" t="n"/>
      <c r="H120" s="80" t="n"/>
      <c r="I120" s="80" t="n"/>
      <c r="J120" s="80" t="n"/>
      <c r="K120" s="82">
        <f>IF($J120="","",IFERROR(VLOOKUP($J120,'Base Settings'!$A$13:$K$19,2,FALSE),""))</f>
        <v/>
      </c>
      <c r="L120" s="139" t="n"/>
      <c r="M120" s="139" t="n"/>
      <c r="N120" s="140">
        <f>IF(OR($L120="",$M120=""),"",MAX(0,$L120-$M120))</f>
        <v/>
      </c>
      <c r="O120" s="140">
        <f>IF($J120="","",IFERROR(VLOOKUP($J120,'Base Settings'!$A$13:$K$19,3,FALSE),0))</f>
        <v/>
      </c>
      <c r="P120" s="140">
        <f>IF($N120="","",$N120*$O120)</f>
        <v/>
      </c>
      <c r="Q120" s="139" t="n"/>
      <c r="R120" s="139" t="n"/>
      <c r="S120" s="139" t="n"/>
      <c r="T120" s="139" t="n"/>
      <c r="U120" s="140">
        <f>IF($J120="","",IFERROR($N120*VLOOKUP($J120,'Base Settings'!$A$13:$K$19,4,FALSE),0))</f>
        <v/>
      </c>
      <c r="V120" s="140">
        <f>IFERROR($N120/$S120,"")</f>
        <v/>
      </c>
      <c r="W120" s="140">
        <f>IFERROR($N120/$T120,"")</f>
        <v/>
      </c>
      <c r="X120" s="80" t="n"/>
      <c r="Y120" s="80" t="n"/>
    </row>
    <row r="121">
      <c r="A121" s="80" t="n"/>
      <c r="B121" s="138" t="n"/>
      <c r="C121" s="80" t="n"/>
      <c r="D121" s="80" t="n"/>
      <c r="E121" s="80" t="n"/>
      <c r="F121" s="80" t="n"/>
      <c r="G121" s="80" t="n"/>
      <c r="H121" s="80" t="n"/>
      <c r="I121" s="80" t="n"/>
      <c r="J121" s="80" t="n"/>
      <c r="K121" s="82">
        <f>IF($J121="","",IFERROR(VLOOKUP($J121,'Base Settings'!$A$13:$K$19,2,FALSE),""))</f>
        <v/>
      </c>
      <c r="L121" s="139" t="n"/>
      <c r="M121" s="139" t="n"/>
      <c r="N121" s="140">
        <f>IF(OR($L121="",$M121=""),"",MAX(0,$L121-$M121))</f>
        <v/>
      </c>
      <c r="O121" s="140">
        <f>IF($J121="","",IFERROR(VLOOKUP($J121,'Base Settings'!$A$13:$K$19,3,FALSE),0))</f>
        <v/>
      </c>
      <c r="P121" s="140">
        <f>IF($N121="","",$N121*$O121)</f>
        <v/>
      </c>
      <c r="Q121" s="139" t="n"/>
      <c r="R121" s="139" t="n"/>
      <c r="S121" s="139" t="n"/>
      <c r="T121" s="139" t="n"/>
      <c r="U121" s="140">
        <f>IF($J121="","",IFERROR($N121*VLOOKUP($J121,'Base Settings'!$A$13:$K$19,4,FALSE),0))</f>
        <v/>
      </c>
      <c r="V121" s="140">
        <f>IFERROR($N121/$S121,"")</f>
        <v/>
      </c>
      <c r="W121" s="140">
        <f>IFERROR($N121/$T121,"")</f>
        <v/>
      </c>
      <c r="X121" s="80" t="n"/>
      <c r="Y121" s="80" t="n"/>
    </row>
    <row r="122">
      <c r="A122" s="80" t="n"/>
      <c r="B122" s="138" t="n"/>
      <c r="C122" s="80" t="n"/>
      <c r="D122" s="80" t="n"/>
      <c r="E122" s="80" t="n"/>
      <c r="F122" s="80" t="n"/>
      <c r="G122" s="80" t="n"/>
      <c r="H122" s="80" t="n"/>
      <c r="I122" s="80" t="n"/>
      <c r="J122" s="80" t="n"/>
      <c r="K122" s="82">
        <f>IF($J122="","",IFERROR(VLOOKUP($J122,'Base Settings'!$A$13:$K$19,2,FALSE),""))</f>
        <v/>
      </c>
      <c r="L122" s="139" t="n"/>
      <c r="M122" s="139" t="n"/>
      <c r="N122" s="140">
        <f>IF(OR($L122="",$M122=""),"",MAX(0,$L122-$M122))</f>
        <v/>
      </c>
      <c r="O122" s="140">
        <f>IF($J122="","",IFERROR(VLOOKUP($J122,'Base Settings'!$A$13:$K$19,3,FALSE),0))</f>
        <v/>
      </c>
      <c r="P122" s="140">
        <f>IF($N122="","",$N122*$O122)</f>
        <v/>
      </c>
      <c r="Q122" s="139" t="n"/>
      <c r="R122" s="139" t="n"/>
      <c r="S122" s="139" t="n"/>
      <c r="T122" s="139" t="n"/>
      <c r="U122" s="140">
        <f>IF($J122="","",IFERROR($N122*VLOOKUP($J122,'Base Settings'!$A$13:$K$19,4,FALSE),0))</f>
        <v/>
      </c>
      <c r="V122" s="140">
        <f>IFERROR($N122/$S122,"")</f>
        <v/>
      </c>
      <c r="W122" s="140">
        <f>IFERROR($N122/$T122,"")</f>
        <v/>
      </c>
      <c r="X122" s="80" t="n"/>
      <c r="Y122" s="80" t="n"/>
    </row>
    <row r="123">
      <c r="A123" s="80" t="n"/>
      <c r="B123" s="138" t="n"/>
      <c r="C123" s="80" t="n"/>
      <c r="D123" s="80" t="n"/>
      <c r="E123" s="80" t="n"/>
      <c r="F123" s="80" t="n"/>
      <c r="G123" s="80" t="n"/>
      <c r="H123" s="80" t="n"/>
      <c r="I123" s="80" t="n"/>
      <c r="J123" s="80" t="n"/>
      <c r="K123" s="82">
        <f>IF($J123="","",IFERROR(VLOOKUP($J123,'Base Settings'!$A$13:$K$19,2,FALSE),""))</f>
        <v/>
      </c>
      <c r="L123" s="139" t="n"/>
      <c r="M123" s="139" t="n"/>
      <c r="N123" s="140">
        <f>IF(OR($L123="",$M123=""),"",MAX(0,$L123-$M123))</f>
        <v/>
      </c>
      <c r="O123" s="140">
        <f>IF($J123="","",IFERROR(VLOOKUP($J123,'Base Settings'!$A$13:$K$19,3,FALSE),0))</f>
        <v/>
      </c>
      <c r="P123" s="140">
        <f>IF($N123="","",$N123*$O123)</f>
        <v/>
      </c>
      <c r="Q123" s="139" t="n"/>
      <c r="R123" s="139" t="n"/>
      <c r="S123" s="139" t="n"/>
      <c r="T123" s="139" t="n"/>
      <c r="U123" s="140">
        <f>IF($J123="","",IFERROR($N123*VLOOKUP($J123,'Base Settings'!$A$13:$K$19,4,FALSE),0))</f>
        <v/>
      </c>
      <c r="V123" s="140">
        <f>IFERROR($N123/$S123,"")</f>
        <v/>
      </c>
      <c r="W123" s="140">
        <f>IFERROR($N123/$T123,"")</f>
        <v/>
      </c>
      <c r="X123" s="80" t="n"/>
      <c r="Y123" s="80" t="n"/>
    </row>
    <row r="124">
      <c r="A124" s="80" t="n"/>
      <c r="B124" s="138" t="n"/>
      <c r="C124" s="80" t="n"/>
      <c r="D124" s="80" t="n"/>
      <c r="E124" s="80" t="n"/>
      <c r="F124" s="80" t="n"/>
      <c r="G124" s="80" t="n"/>
      <c r="H124" s="80" t="n"/>
      <c r="I124" s="80" t="n"/>
      <c r="J124" s="80" t="n"/>
      <c r="K124" s="82">
        <f>IF($J124="","",IFERROR(VLOOKUP($J124,'Base Settings'!$A$13:$K$19,2,FALSE),""))</f>
        <v/>
      </c>
      <c r="L124" s="139" t="n"/>
      <c r="M124" s="139" t="n"/>
      <c r="N124" s="140">
        <f>IF(OR($L124="",$M124=""),"",MAX(0,$L124-$M124))</f>
        <v/>
      </c>
      <c r="O124" s="140">
        <f>IF($J124="","",IFERROR(VLOOKUP($J124,'Base Settings'!$A$13:$K$19,3,FALSE),0))</f>
        <v/>
      </c>
      <c r="P124" s="140">
        <f>IF($N124="","",$N124*$O124)</f>
        <v/>
      </c>
      <c r="Q124" s="139" t="n"/>
      <c r="R124" s="139" t="n"/>
      <c r="S124" s="139" t="n"/>
      <c r="T124" s="139" t="n"/>
      <c r="U124" s="140">
        <f>IF($J124="","",IFERROR($N124*VLOOKUP($J124,'Base Settings'!$A$13:$K$19,4,FALSE),0))</f>
        <v/>
      </c>
      <c r="V124" s="140">
        <f>IFERROR($N124/$S124,"")</f>
        <v/>
      </c>
      <c r="W124" s="140">
        <f>IFERROR($N124/$T124,"")</f>
        <v/>
      </c>
      <c r="X124" s="80" t="n"/>
      <c r="Y124" s="80" t="n"/>
    </row>
    <row r="125">
      <c r="A125" s="80" t="n"/>
      <c r="B125" s="138" t="n"/>
      <c r="C125" s="80" t="n"/>
      <c r="D125" s="80" t="n"/>
      <c r="E125" s="80" t="n"/>
      <c r="F125" s="80" t="n"/>
      <c r="G125" s="80" t="n"/>
      <c r="H125" s="80" t="n"/>
      <c r="I125" s="80" t="n"/>
      <c r="J125" s="80" t="n"/>
      <c r="K125" s="82">
        <f>IF($J125="","",IFERROR(VLOOKUP($J125,'Base Settings'!$A$13:$K$19,2,FALSE),""))</f>
        <v/>
      </c>
      <c r="L125" s="139" t="n"/>
      <c r="M125" s="139" t="n"/>
      <c r="N125" s="140">
        <f>IF(OR($L125="",$M125=""),"",MAX(0,$L125-$M125))</f>
        <v/>
      </c>
      <c r="O125" s="140">
        <f>IF($J125="","",IFERROR(VLOOKUP($J125,'Base Settings'!$A$13:$K$19,3,FALSE),0))</f>
        <v/>
      </c>
      <c r="P125" s="140">
        <f>IF($N125="","",$N125*$O125)</f>
        <v/>
      </c>
      <c r="Q125" s="139" t="n"/>
      <c r="R125" s="139" t="n"/>
      <c r="S125" s="139" t="n"/>
      <c r="T125" s="139" t="n"/>
      <c r="U125" s="140">
        <f>IF($J125="","",IFERROR($N125*VLOOKUP($J125,'Base Settings'!$A$13:$K$19,4,FALSE),0))</f>
        <v/>
      </c>
      <c r="V125" s="140">
        <f>IFERROR($N125/$S125,"")</f>
        <v/>
      </c>
      <c r="W125" s="140">
        <f>IFERROR($N125/$T125,"")</f>
        <v/>
      </c>
      <c r="X125" s="80" t="n"/>
      <c r="Y125" s="80" t="n"/>
    </row>
    <row r="126">
      <c r="A126" s="80" t="n"/>
      <c r="B126" s="138" t="n"/>
      <c r="C126" s="80" t="n"/>
      <c r="D126" s="80" t="n"/>
      <c r="E126" s="80" t="n"/>
      <c r="F126" s="80" t="n"/>
      <c r="G126" s="80" t="n"/>
      <c r="H126" s="80" t="n"/>
      <c r="I126" s="80" t="n"/>
      <c r="J126" s="80" t="n"/>
      <c r="K126" s="82">
        <f>IF($J126="","",IFERROR(VLOOKUP($J126,'Base Settings'!$A$13:$K$19,2,FALSE),""))</f>
        <v/>
      </c>
      <c r="L126" s="139" t="n"/>
      <c r="M126" s="139" t="n"/>
      <c r="N126" s="140">
        <f>IF(OR($L126="",$M126=""),"",MAX(0,$L126-$M126))</f>
        <v/>
      </c>
      <c r="O126" s="140">
        <f>IF($J126="","",IFERROR(VLOOKUP($J126,'Base Settings'!$A$13:$K$19,3,FALSE),0))</f>
        <v/>
      </c>
      <c r="P126" s="140">
        <f>IF($N126="","",$N126*$O126)</f>
        <v/>
      </c>
      <c r="Q126" s="139" t="n"/>
      <c r="R126" s="139" t="n"/>
      <c r="S126" s="139" t="n"/>
      <c r="T126" s="139" t="n"/>
      <c r="U126" s="140">
        <f>IF($J126="","",IFERROR($N126*VLOOKUP($J126,'Base Settings'!$A$13:$K$19,4,FALSE),0))</f>
        <v/>
      </c>
      <c r="V126" s="140">
        <f>IFERROR($N126/$S126,"")</f>
        <v/>
      </c>
      <c r="W126" s="140">
        <f>IFERROR($N126/$T126,"")</f>
        <v/>
      </c>
      <c r="X126" s="80" t="n"/>
      <c r="Y126" s="80" t="n"/>
    </row>
    <row r="127">
      <c r="A127" s="80" t="n"/>
      <c r="B127" s="138" t="n"/>
      <c r="C127" s="80" t="n"/>
      <c r="D127" s="80" t="n"/>
      <c r="E127" s="80" t="n"/>
      <c r="F127" s="80" t="n"/>
      <c r="G127" s="80" t="n"/>
      <c r="H127" s="80" t="n"/>
      <c r="I127" s="80" t="n"/>
      <c r="J127" s="80" t="n"/>
      <c r="K127" s="82">
        <f>IF($J127="","",IFERROR(VLOOKUP($J127,'Base Settings'!$A$13:$K$19,2,FALSE),""))</f>
        <v/>
      </c>
      <c r="L127" s="139" t="n"/>
      <c r="M127" s="139" t="n"/>
      <c r="N127" s="140">
        <f>IF(OR($L127="",$M127=""),"",MAX(0,$L127-$M127))</f>
        <v/>
      </c>
      <c r="O127" s="140">
        <f>IF($J127="","",IFERROR(VLOOKUP($J127,'Base Settings'!$A$13:$K$19,3,FALSE),0))</f>
        <v/>
      </c>
      <c r="P127" s="140">
        <f>IF($N127="","",$N127*$O127)</f>
        <v/>
      </c>
      <c r="Q127" s="139" t="n"/>
      <c r="R127" s="139" t="n"/>
      <c r="S127" s="139" t="n"/>
      <c r="T127" s="139" t="n"/>
      <c r="U127" s="140">
        <f>IF($J127="","",IFERROR($N127*VLOOKUP($J127,'Base Settings'!$A$13:$K$19,4,FALSE),0))</f>
        <v/>
      </c>
      <c r="V127" s="140">
        <f>IFERROR($N127/$S127,"")</f>
        <v/>
      </c>
      <c r="W127" s="140">
        <f>IFERROR($N127/$T127,"")</f>
        <v/>
      </c>
      <c r="X127" s="80" t="n"/>
      <c r="Y127" s="80" t="n"/>
    </row>
    <row r="128">
      <c r="A128" s="80" t="n"/>
      <c r="B128" s="138" t="n"/>
      <c r="C128" s="80" t="n"/>
      <c r="D128" s="80" t="n"/>
      <c r="E128" s="80" t="n"/>
      <c r="F128" s="80" t="n"/>
      <c r="G128" s="80" t="n"/>
      <c r="H128" s="80" t="n"/>
      <c r="I128" s="80" t="n"/>
      <c r="J128" s="80" t="n"/>
      <c r="K128" s="82">
        <f>IF($J128="","",IFERROR(VLOOKUP($J128,'Base Settings'!$A$13:$K$19,2,FALSE),""))</f>
        <v/>
      </c>
      <c r="L128" s="139" t="n"/>
      <c r="M128" s="139" t="n"/>
      <c r="N128" s="140">
        <f>IF(OR($L128="",$M128=""),"",MAX(0,$L128-$M128))</f>
        <v/>
      </c>
      <c r="O128" s="140">
        <f>IF($J128="","",IFERROR(VLOOKUP($J128,'Base Settings'!$A$13:$K$19,3,FALSE),0))</f>
        <v/>
      </c>
      <c r="P128" s="140">
        <f>IF($N128="","",$N128*$O128)</f>
        <v/>
      </c>
      <c r="Q128" s="139" t="n"/>
      <c r="R128" s="139" t="n"/>
      <c r="S128" s="139" t="n"/>
      <c r="T128" s="139" t="n"/>
      <c r="U128" s="140">
        <f>IF($J128="","",IFERROR($N128*VLOOKUP($J128,'Base Settings'!$A$13:$K$19,4,FALSE),0))</f>
        <v/>
      </c>
      <c r="V128" s="140">
        <f>IFERROR($N128/$S128,"")</f>
        <v/>
      </c>
      <c r="W128" s="140">
        <f>IFERROR($N128/$T128,"")</f>
        <v/>
      </c>
      <c r="X128" s="80" t="n"/>
      <c r="Y128" s="80" t="n"/>
    </row>
    <row r="129">
      <c r="A129" s="80" t="n"/>
      <c r="B129" s="138" t="n"/>
      <c r="C129" s="80" t="n"/>
      <c r="D129" s="80" t="n"/>
      <c r="E129" s="80" t="n"/>
      <c r="F129" s="80" t="n"/>
      <c r="G129" s="80" t="n"/>
      <c r="H129" s="80" t="n"/>
      <c r="I129" s="80" t="n"/>
      <c r="J129" s="80" t="n"/>
      <c r="K129" s="82">
        <f>IF($J129="","",IFERROR(VLOOKUP($J129,'Base Settings'!$A$13:$K$19,2,FALSE),""))</f>
        <v/>
      </c>
      <c r="L129" s="139" t="n"/>
      <c r="M129" s="139" t="n"/>
      <c r="N129" s="140">
        <f>IF(OR($L129="",$M129=""),"",MAX(0,$L129-$M129))</f>
        <v/>
      </c>
      <c r="O129" s="140">
        <f>IF($J129="","",IFERROR(VLOOKUP($J129,'Base Settings'!$A$13:$K$19,3,FALSE),0))</f>
        <v/>
      </c>
      <c r="P129" s="140">
        <f>IF($N129="","",$N129*$O129)</f>
        <v/>
      </c>
      <c r="Q129" s="139" t="n"/>
      <c r="R129" s="139" t="n"/>
      <c r="S129" s="139" t="n"/>
      <c r="T129" s="139" t="n"/>
      <c r="U129" s="140">
        <f>IF($J129="","",IFERROR($N129*VLOOKUP($J129,'Base Settings'!$A$13:$K$19,4,FALSE),0))</f>
        <v/>
      </c>
      <c r="V129" s="140">
        <f>IFERROR($N129/$S129,"")</f>
        <v/>
      </c>
      <c r="W129" s="140">
        <f>IFERROR($N129/$T129,"")</f>
        <v/>
      </c>
      <c r="X129" s="80" t="n"/>
      <c r="Y129" s="80" t="n"/>
    </row>
    <row r="130">
      <c r="A130" s="80" t="n"/>
      <c r="B130" s="138" t="n"/>
      <c r="C130" s="80" t="n"/>
      <c r="D130" s="80" t="n"/>
      <c r="E130" s="80" t="n"/>
      <c r="F130" s="80" t="n"/>
      <c r="G130" s="80" t="n"/>
      <c r="H130" s="80" t="n"/>
      <c r="I130" s="80" t="n"/>
      <c r="J130" s="80" t="n"/>
      <c r="K130" s="82">
        <f>IF($J130="","",IFERROR(VLOOKUP($J130,'Base Settings'!$A$13:$K$19,2,FALSE),""))</f>
        <v/>
      </c>
      <c r="L130" s="139" t="n"/>
      <c r="M130" s="139" t="n"/>
      <c r="N130" s="140">
        <f>IF(OR($L130="",$M130=""),"",MAX(0,$L130-$M130))</f>
        <v/>
      </c>
      <c r="O130" s="140">
        <f>IF($J130="","",IFERROR(VLOOKUP($J130,'Base Settings'!$A$13:$K$19,3,FALSE),0))</f>
        <v/>
      </c>
      <c r="P130" s="140">
        <f>IF($N130="","",$N130*$O130)</f>
        <v/>
      </c>
      <c r="Q130" s="139" t="n"/>
      <c r="R130" s="139" t="n"/>
      <c r="S130" s="139" t="n"/>
      <c r="T130" s="139" t="n"/>
      <c r="U130" s="140">
        <f>IF($J130="","",IFERROR($N130*VLOOKUP($J130,'Base Settings'!$A$13:$K$19,4,FALSE),0))</f>
        <v/>
      </c>
      <c r="V130" s="140">
        <f>IFERROR($N130/$S130,"")</f>
        <v/>
      </c>
      <c r="W130" s="140">
        <f>IFERROR($N130/$T130,"")</f>
        <v/>
      </c>
      <c r="X130" s="80" t="n"/>
      <c r="Y130" s="80" t="n"/>
    </row>
    <row r="131">
      <c r="A131" s="80" t="n"/>
      <c r="B131" s="138" t="n"/>
      <c r="C131" s="80" t="n"/>
      <c r="D131" s="80" t="n"/>
      <c r="E131" s="80" t="n"/>
      <c r="F131" s="80" t="n"/>
      <c r="G131" s="80" t="n"/>
      <c r="H131" s="80" t="n"/>
      <c r="I131" s="80" t="n"/>
      <c r="J131" s="80" t="n"/>
      <c r="K131" s="82">
        <f>IF($J131="","",IFERROR(VLOOKUP($J131,'Base Settings'!$A$13:$K$19,2,FALSE),""))</f>
        <v/>
      </c>
      <c r="L131" s="139" t="n"/>
      <c r="M131" s="139" t="n"/>
      <c r="N131" s="140">
        <f>IF(OR($L131="",$M131=""),"",MAX(0,$L131-$M131))</f>
        <v/>
      </c>
      <c r="O131" s="140">
        <f>IF($J131="","",IFERROR(VLOOKUP($J131,'Base Settings'!$A$13:$K$19,3,FALSE),0))</f>
        <v/>
      </c>
      <c r="P131" s="140">
        <f>IF($N131="","",$N131*$O131)</f>
        <v/>
      </c>
      <c r="Q131" s="139" t="n"/>
      <c r="R131" s="139" t="n"/>
      <c r="S131" s="139" t="n"/>
      <c r="T131" s="139" t="n"/>
      <c r="U131" s="140">
        <f>IF($J131="","",IFERROR($N131*VLOOKUP($J131,'Base Settings'!$A$13:$K$19,4,FALSE),0))</f>
        <v/>
      </c>
      <c r="V131" s="140">
        <f>IFERROR($N131/$S131,"")</f>
        <v/>
      </c>
      <c r="W131" s="140">
        <f>IFERROR($N131/$T131,"")</f>
        <v/>
      </c>
      <c r="X131" s="80" t="n"/>
      <c r="Y131" s="80" t="n"/>
    </row>
    <row r="132">
      <c r="A132" s="80" t="n"/>
      <c r="B132" s="138" t="n"/>
      <c r="C132" s="80" t="n"/>
      <c r="D132" s="80" t="n"/>
      <c r="E132" s="80" t="n"/>
      <c r="F132" s="80" t="n"/>
      <c r="G132" s="80" t="n"/>
      <c r="H132" s="80" t="n"/>
      <c r="I132" s="80" t="n"/>
      <c r="J132" s="80" t="n"/>
      <c r="K132" s="82">
        <f>IF($J132="","",IFERROR(VLOOKUP($J132,'Base Settings'!$A$13:$K$19,2,FALSE),""))</f>
        <v/>
      </c>
      <c r="L132" s="139" t="n"/>
      <c r="M132" s="139" t="n"/>
      <c r="N132" s="140">
        <f>IF(OR($L132="",$M132=""),"",MAX(0,$L132-$M132))</f>
        <v/>
      </c>
      <c r="O132" s="140">
        <f>IF($J132="","",IFERROR(VLOOKUP($J132,'Base Settings'!$A$13:$K$19,3,FALSE),0))</f>
        <v/>
      </c>
      <c r="P132" s="140">
        <f>IF($N132="","",$N132*$O132)</f>
        <v/>
      </c>
      <c r="Q132" s="139" t="n"/>
      <c r="R132" s="139" t="n"/>
      <c r="S132" s="139" t="n"/>
      <c r="T132" s="139" t="n"/>
      <c r="U132" s="140">
        <f>IF($J132="","",IFERROR($N132*VLOOKUP($J132,'Base Settings'!$A$13:$K$19,4,FALSE),0))</f>
        <v/>
      </c>
      <c r="V132" s="140">
        <f>IFERROR($N132/$S132,"")</f>
        <v/>
      </c>
      <c r="W132" s="140">
        <f>IFERROR($N132/$T132,"")</f>
        <v/>
      </c>
      <c r="X132" s="80" t="n"/>
      <c r="Y132" s="80" t="n"/>
    </row>
    <row r="133">
      <c r="A133" s="80" t="n"/>
      <c r="B133" s="138" t="n"/>
      <c r="C133" s="80" t="n"/>
      <c r="D133" s="80" t="n"/>
      <c r="E133" s="80" t="n"/>
      <c r="F133" s="80" t="n"/>
      <c r="G133" s="80" t="n"/>
      <c r="H133" s="80" t="n"/>
      <c r="I133" s="80" t="n"/>
      <c r="J133" s="80" t="n"/>
      <c r="K133" s="82">
        <f>IF($J133="","",IFERROR(VLOOKUP($J133,'Base Settings'!$A$13:$K$19,2,FALSE),""))</f>
        <v/>
      </c>
      <c r="L133" s="139" t="n"/>
      <c r="M133" s="139" t="n"/>
      <c r="N133" s="140">
        <f>IF(OR($L133="",$M133=""),"",MAX(0,$L133-$M133))</f>
        <v/>
      </c>
      <c r="O133" s="140">
        <f>IF($J133="","",IFERROR(VLOOKUP($J133,'Base Settings'!$A$13:$K$19,3,FALSE),0))</f>
        <v/>
      </c>
      <c r="P133" s="140">
        <f>IF($N133="","",$N133*$O133)</f>
        <v/>
      </c>
      <c r="Q133" s="139" t="n"/>
      <c r="R133" s="139" t="n"/>
      <c r="S133" s="139" t="n"/>
      <c r="T133" s="139" t="n"/>
      <c r="U133" s="140">
        <f>IF($J133="","",IFERROR($N133*VLOOKUP($J133,'Base Settings'!$A$13:$K$19,4,FALSE),0))</f>
        <v/>
      </c>
      <c r="V133" s="140">
        <f>IFERROR($N133/$S133,"")</f>
        <v/>
      </c>
      <c r="W133" s="140">
        <f>IFERROR($N133/$T133,"")</f>
        <v/>
      </c>
      <c r="X133" s="80" t="n"/>
      <c r="Y133" s="80" t="n"/>
    </row>
    <row r="134">
      <c r="A134" s="80" t="n"/>
      <c r="B134" s="138" t="n"/>
      <c r="C134" s="80" t="n"/>
      <c r="D134" s="80" t="n"/>
      <c r="E134" s="80" t="n"/>
      <c r="F134" s="80" t="n"/>
      <c r="G134" s="80" t="n"/>
      <c r="H134" s="80" t="n"/>
      <c r="I134" s="80" t="n"/>
      <c r="J134" s="80" t="n"/>
      <c r="K134" s="82">
        <f>IF($J134="","",IFERROR(VLOOKUP($J134,'Base Settings'!$A$13:$K$19,2,FALSE),""))</f>
        <v/>
      </c>
      <c r="L134" s="139" t="n"/>
      <c r="M134" s="139" t="n"/>
      <c r="N134" s="140">
        <f>IF(OR($L134="",$M134=""),"",MAX(0,$L134-$M134))</f>
        <v/>
      </c>
      <c r="O134" s="140">
        <f>IF($J134="","",IFERROR(VLOOKUP($J134,'Base Settings'!$A$13:$K$19,3,FALSE),0))</f>
        <v/>
      </c>
      <c r="P134" s="140">
        <f>IF($N134="","",$N134*$O134)</f>
        <v/>
      </c>
      <c r="Q134" s="139" t="n"/>
      <c r="R134" s="139" t="n"/>
      <c r="S134" s="139" t="n"/>
      <c r="T134" s="139" t="n"/>
      <c r="U134" s="140">
        <f>IF($J134="","",IFERROR($N134*VLOOKUP($J134,'Base Settings'!$A$13:$K$19,4,FALSE),0))</f>
        <v/>
      </c>
      <c r="V134" s="140">
        <f>IFERROR($N134/$S134,"")</f>
        <v/>
      </c>
      <c r="W134" s="140">
        <f>IFERROR($N134/$T134,"")</f>
        <v/>
      </c>
      <c r="X134" s="80" t="n"/>
      <c r="Y134" s="80" t="n"/>
    </row>
    <row r="135">
      <c r="A135" s="80" t="n"/>
      <c r="B135" s="138" t="n"/>
      <c r="C135" s="80" t="n"/>
      <c r="D135" s="80" t="n"/>
      <c r="E135" s="80" t="n"/>
      <c r="F135" s="80" t="n"/>
      <c r="G135" s="80" t="n"/>
      <c r="H135" s="80" t="n"/>
      <c r="I135" s="80" t="n"/>
      <c r="J135" s="80" t="n"/>
      <c r="K135" s="82">
        <f>IF($J135="","",IFERROR(VLOOKUP($J135,'Base Settings'!$A$13:$K$19,2,FALSE),""))</f>
        <v/>
      </c>
      <c r="L135" s="139" t="n"/>
      <c r="M135" s="139" t="n"/>
      <c r="N135" s="140">
        <f>IF(OR($L135="",$M135=""),"",MAX(0,$L135-$M135))</f>
        <v/>
      </c>
      <c r="O135" s="140">
        <f>IF($J135="","",IFERROR(VLOOKUP($J135,'Base Settings'!$A$13:$K$19,3,FALSE),0))</f>
        <v/>
      </c>
      <c r="P135" s="140">
        <f>IF($N135="","",$N135*$O135)</f>
        <v/>
      </c>
      <c r="Q135" s="139" t="n"/>
      <c r="R135" s="139" t="n"/>
      <c r="S135" s="139" t="n"/>
      <c r="T135" s="139" t="n"/>
      <c r="U135" s="140">
        <f>IF($J135="","",IFERROR($N135*VLOOKUP($J135,'Base Settings'!$A$13:$K$19,4,FALSE),0))</f>
        <v/>
      </c>
      <c r="V135" s="140">
        <f>IFERROR($N135/$S135,"")</f>
        <v/>
      </c>
      <c r="W135" s="140">
        <f>IFERROR($N135/$T135,"")</f>
        <v/>
      </c>
      <c r="X135" s="80" t="n"/>
      <c r="Y135" s="80" t="n"/>
    </row>
    <row r="136">
      <c r="A136" s="80" t="n"/>
      <c r="B136" s="138" t="n"/>
      <c r="C136" s="80" t="n"/>
      <c r="D136" s="80" t="n"/>
      <c r="E136" s="80" t="n"/>
      <c r="F136" s="80" t="n"/>
      <c r="G136" s="80" t="n"/>
      <c r="H136" s="80" t="n"/>
      <c r="I136" s="80" t="n"/>
      <c r="J136" s="80" t="n"/>
      <c r="K136" s="82">
        <f>IF($J136="","",IFERROR(VLOOKUP($J136,'Base Settings'!$A$13:$K$19,2,FALSE),""))</f>
        <v/>
      </c>
      <c r="L136" s="139" t="n"/>
      <c r="M136" s="139" t="n"/>
      <c r="N136" s="140">
        <f>IF(OR($L136="",$M136=""),"",MAX(0,$L136-$M136))</f>
        <v/>
      </c>
      <c r="O136" s="140">
        <f>IF($J136="","",IFERROR(VLOOKUP($J136,'Base Settings'!$A$13:$K$19,3,FALSE),0))</f>
        <v/>
      </c>
      <c r="P136" s="140">
        <f>IF($N136="","",$N136*$O136)</f>
        <v/>
      </c>
      <c r="Q136" s="139" t="n"/>
      <c r="R136" s="139" t="n"/>
      <c r="S136" s="139" t="n"/>
      <c r="T136" s="139" t="n"/>
      <c r="U136" s="140">
        <f>IF($J136="","",IFERROR($N136*VLOOKUP($J136,'Base Settings'!$A$13:$K$19,4,FALSE),0))</f>
        <v/>
      </c>
      <c r="V136" s="140">
        <f>IFERROR($N136/$S136,"")</f>
        <v/>
      </c>
      <c r="W136" s="140">
        <f>IFERROR($N136/$T136,"")</f>
        <v/>
      </c>
      <c r="X136" s="80" t="n"/>
      <c r="Y136" s="80" t="n"/>
    </row>
    <row r="137">
      <c r="A137" s="80" t="n"/>
      <c r="B137" s="138" t="n"/>
      <c r="C137" s="80" t="n"/>
      <c r="D137" s="80" t="n"/>
      <c r="E137" s="80" t="n"/>
      <c r="F137" s="80" t="n"/>
      <c r="G137" s="80" t="n"/>
      <c r="H137" s="80" t="n"/>
      <c r="I137" s="80" t="n"/>
      <c r="J137" s="80" t="n"/>
      <c r="K137" s="82">
        <f>IF($J137="","",IFERROR(VLOOKUP($J137,'Base Settings'!$A$13:$K$19,2,FALSE),""))</f>
        <v/>
      </c>
      <c r="L137" s="139" t="n"/>
      <c r="M137" s="139" t="n"/>
      <c r="N137" s="140">
        <f>IF(OR($L137="",$M137=""),"",MAX(0,$L137-$M137))</f>
        <v/>
      </c>
      <c r="O137" s="140">
        <f>IF($J137="","",IFERROR(VLOOKUP($J137,'Base Settings'!$A$13:$K$19,3,FALSE),0))</f>
        <v/>
      </c>
      <c r="P137" s="140">
        <f>IF($N137="","",$N137*$O137)</f>
        <v/>
      </c>
      <c r="Q137" s="139" t="n"/>
      <c r="R137" s="139" t="n"/>
      <c r="S137" s="139" t="n"/>
      <c r="T137" s="139" t="n"/>
      <c r="U137" s="140">
        <f>IF($J137="","",IFERROR($N137*VLOOKUP($J137,'Base Settings'!$A$13:$K$19,4,FALSE),0))</f>
        <v/>
      </c>
      <c r="V137" s="140">
        <f>IFERROR($N137/$S137,"")</f>
        <v/>
      </c>
      <c r="W137" s="140">
        <f>IFERROR($N137/$T137,"")</f>
        <v/>
      </c>
      <c r="X137" s="80" t="n"/>
      <c r="Y137" s="80" t="n"/>
    </row>
    <row r="138">
      <c r="A138" s="80" t="n"/>
      <c r="B138" s="138" t="n"/>
      <c r="C138" s="80" t="n"/>
      <c r="D138" s="80" t="n"/>
      <c r="E138" s="80" t="n"/>
      <c r="F138" s="80" t="n"/>
      <c r="G138" s="80" t="n"/>
      <c r="H138" s="80" t="n"/>
      <c r="I138" s="80" t="n"/>
      <c r="J138" s="80" t="n"/>
      <c r="K138" s="82">
        <f>IF($J138="","",IFERROR(VLOOKUP($J138,'Base Settings'!$A$13:$K$19,2,FALSE),""))</f>
        <v/>
      </c>
      <c r="L138" s="139" t="n"/>
      <c r="M138" s="139" t="n"/>
      <c r="N138" s="140">
        <f>IF(OR($L138="",$M138=""),"",MAX(0,$L138-$M138))</f>
        <v/>
      </c>
      <c r="O138" s="140">
        <f>IF($J138="","",IFERROR(VLOOKUP($J138,'Base Settings'!$A$13:$K$19,3,FALSE),0))</f>
        <v/>
      </c>
      <c r="P138" s="140">
        <f>IF($N138="","",$N138*$O138)</f>
        <v/>
      </c>
      <c r="Q138" s="139" t="n"/>
      <c r="R138" s="139" t="n"/>
      <c r="S138" s="139" t="n"/>
      <c r="T138" s="139" t="n"/>
      <c r="U138" s="140">
        <f>IF($J138="","",IFERROR($N138*VLOOKUP($J138,'Base Settings'!$A$13:$K$19,4,FALSE),0))</f>
        <v/>
      </c>
      <c r="V138" s="140">
        <f>IFERROR($N138/$S138,"")</f>
        <v/>
      </c>
      <c r="W138" s="140">
        <f>IFERROR($N138/$T138,"")</f>
        <v/>
      </c>
      <c r="X138" s="80" t="n"/>
      <c r="Y138" s="80" t="n"/>
    </row>
    <row r="139">
      <c r="A139" s="80" t="n"/>
      <c r="B139" s="138" t="n"/>
      <c r="C139" s="80" t="n"/>
      <c r="D139" s="80" t="n"/>
      <c r="E139" s="80" t="n"/>
      <c r="F139" s="80" t="n"/>
      <c r="G139" s="80" t="n"/>
      <c r="H139" s="80" t="n"/>
      <c r="I139" s="80" t="n"/>
      <c r="J139" s="80" t="n"/>
      <c r="K139" s="82">
        <f>IF($J139="","",IFERROR(VLOOKUP($J139,'Base Settings'!$A$13:$K$19,2,FALSE),""))</f>
        <v/>
      </c>
      <c r="L139" s="139" t="n"/>
      <c r="M139" s="139" t="n"/>
      <c r="N139" s="140">
        <f>IF(OR($L139="",$M139=""),"",MAX(0,$L139-$M139))</f>
        <v/>
      </c>
      <c r="O139" s="140">
        <f>IF($J139="","",IFERROR(VLOOKUP($J139,'Base Settings'!$A$13:$K$19,3,FALSE),0))</f>
        <v/>
      </c>
      <c r="P139" s="140">
        <f>IF($N139="","",$N139*$O139)</f>
        <v/>
      </c>
      <c r="Q139" s="139" t="n"/>
      <c r="R139" s="139" t="n"/>
      <c r="S139" s="139" t="n"/>
      <c r="T139" s="139" t="n"/>
      <c r="U139" s="140">
        <f>IF($J139="","",IFERROR($N139*VLOOKUP($J139,'Base Settings'!$A$13:$K$19,4,FALSE),0))</f>
        <v/>
      </c>
      <c r="V139" s="140">
        <f>IFERROR($N139/$S139,"")</f>
        <v/>
      </c>
      <c r="W139" s="140">
        <f>IFERROR($N139/$T139,"")</f>
        <v/>
      </c>
      <c r="X139" s="80" t="n"/>
      <c r="Y139" s="80" t="n"/>
    </row>
    <row r="140">
      <c r="A140" s="80" t="n"/>
      <c r="B140" s="138" t="n"/>
      <c r="C140" s="80" t="n"/>
      <c r="D140" s="80" t="n"/>
      <c r="E140" s="80" t="n"/>
      <c r="F140" s="80" t="n"/>
      <c r="G140" s="80" t="n"/>
      <c r="H140" s="80" t="n"/>
      <c r="I140" s="80" t="n"/>
      <c r="J140" s="80" t="n"/>
      <c r="K140" s="82">
        <f>IF($J140="","",IFERROR(VLOOKUP($J140,'Base Settings'!$A$13:$K$19,2,FALSE),""))</f>
        <v/>
      </c>
      <c r="L140" s="139" t="n"/>
      <c r="M140" s="139" t="n"/>
      <c r="N140" s="140">
        <f>IF(OR($L140="",$M140=""),"",MAX(0,$L140-$M140))</f>
        <v/>
      </c>
      <c r="O140" s="140">
        <f>IF($J140="","",IFERROR(VLOOKUP($J140,'Base Settings'!$A$13:$K$19,3,FALSE),0))</f>
        <v/>
      </c>
      <c r="P140" s="140">
        <f>IF($N140="","",$N140*$O140)</f>
        <v/>
      </c>
      <c r="Q140" s="139" t="n"/>
      <c r="R140" s="139" t="n"/>
      <c r="S140" s="139" t="n"/>
      <c r="T140" s="139" t="n"/>
      <c r="U140" s="140">
        <f>IF($J140="","",IFERROR($N140*VLOOKUP($J140,'Base Settings'!$A$13:$K$19,4,FALSE),0))</f>
        <v/>
      </c>
      <c r="V140" s="140">
        <f>IFERROR($N140/$S140,"")</f>
        <v/>
      </c>
      <c r="W140" s="140">
        <f>IFERROR($N140/$T140,"")</f>
        <v/>
      </c>
      <c r="X140" s="80" t="n"/>
      <c r="Y140" s="80" t="n"/>
    </row>
    <row r="141">
      <c r="A141" s="80" t="n"/>
      <c r="B141" s="138" t="n"/>
      <c r="C141" s="80" t="n"/>
      <c r="D141" s="80" t="n"/>
      <c r="E141" s="80" t="n"/>
      <c r="F141" s="80" t="n"/>
      <c r="G141" s="80" t="n"/>
      <c r="H141" s="80" t="n"/>
      <c r="I141" s="80" t="n"/>
      <c r="J141" s="80" t="n"/>
      <c r="K141" s="82">
        <f>IF($J141="","",IFERROR(VLOOKUP($J141,'Base Settings'!$A$13:$K$19,2,FALSE),""))</f>
        <v/>
      </c>
      <c r="L141" s="139" t="n"/>
      <c r="M141" s="139" t="n"/>
      <c r="N141" s="140">
        <f>IF(OR($L141="",$M141=""),"",MAX(0,$L141-$M141))</f>
        <v/>
      </c>
      <c r="O141" s="140">
        <f>IF($J141="","",IFERROR(VLOOKUP($J141,'Base Settings'!$A$13:$K$19,3,FALSE),0))</f>
        <v/>
      </c>
      <c r="P141" s="140">
        <f>IF($N141="","",$N141*$O141)</f>
        <v/>
      </c>
      <c r="Q141" s="139" t="n"/>
      <c r="R141" s="139" t="n"/>
      <c r="S141" s="139" t="n"/>
      <c r="T141" s="139" t="n"/>
      <c r="U141" s="140">
        <f>IF($J141="","",IFERROR($N141*VLOOKUP($J141,'Base Settings'!$A$13:$K$19,4,FALSE),0))</f>
        <v/>
      </c>
      <c r="V141" s="140">
        <f>IFERROR($N141/$S141,"")</f>
        <v/>
      </c>
      <c r="W141" s="140">
        <f>IFERROR($N141/$T141,"")</f>
        <v/>
      </c>
      <c r="X141" s="80" t="n"/>
      <c r="Y141" s="80" t="n"/>
    </row>
    <row r="142">
      <c r="A142" s="80" t="n"/>
      <c r="B142" s="138" t="n"/>
      <c r="C142" s="80" t="n"/>
      <c r="D142" s="80" t="n"/>
      <c r="E142" s="80" t="n"/>
      <c r="F142" s="80" t="n"/>
      <c r="G142" s="80" t="n"/>
      <c r="H142" s="80" t="n"/>
      <c r="I142" s="80" t="n"/>
      <c r="J142" s="80" t="n"/>
      <c r="K142" s="82">
        <f>IF($J142="","",IFERROR(VLOOKUP($J142,'Base Settings'!$A$13:$K$19,2,FALSE),""))</f>
        <v/>
      </c>
      <c r="L142" s="139" t="n"/>
      <c r="M142" s="139" t="n"/>
      <c r="N142" s="140">
        <f>IF(OR($L142="",$M142=""),"",MAX(0,$L142-$M142))</f>
        <v/>
      </c>
      <c r="O142" s="140">
        <f>IF($J142="","",IFERROR(VLOOKUP($J142,'Base Settings'!$A$13:$K$19,3,FALSE),0))</f>
        <v/>
      </c>
      <c r="P142" s="140">
        <f>IF($N142="","",$N142*$O142)</f>
        <v/>
      </c>
      <c r="Q142" s="139" t="n"/>
      <c r="R142" s="139" t="n"/>
      <c r="S142" s="139" t="n"/>
      <c r="T142" s="139" t="n"/>
      <c r="U142" s="140">
        <f>IF($J142="","",IFERROR($N142*VLOOKUP($J142,'Base Settings'!$A$13:$K$19,4,FALSE),0))</f>
        <v/>
      </c>
      <c r="V142" s="140">
        <f>IFERROR($N142/$S142,"")</f>
        <v/>
      </c>
      <c r="W142" s="140">
        <f>IFERROR($N142/$T142,"")</f>
        <v/>
      </c>
      <c r="X142" s="80" t="n"/>
      <c r="Y142" s="80" t="n"/>
    </row>
    <row r="143">
      <c r="A143" s="80" t="n"/>
      <c r="B143" s="138" t="n"/>
      <c r="C143" s="80" t="n"/>
      <c r="D143" s="80" t="n"/>
      <c r="E143" s="80" t="n"/>
      <c r="F143" s="80" t="n"/>
      <c r="G143" s="80" t="n"/>
      <c r="H143" s="80" t="n"/>
      <c r="I143" s="80" t="n"/>
      <c r="J143" s="80" t="n"/>
      <c r="K143" s="82">
        <f>IF($J143="","",IFERROR(VLOOKUP($J143,'Base Settings'!$A$13:$K$19,2,FALSE),""))</f>
        <v/>
      </c>
      <c r="L143" s="139" t="n"/>
      <c r="M143" s="139" t="n"/>
      <c r="N143" s="140">
        <f>IF(OR($L143="",$M143=""),"",MAX(0,$L143-$M143))</f>
        <v/>
      </c>
      <c r="O143" s="140">
        <f>IF($J143="","",IFERROR(VLOOKUP($J143,'Base Settings'!$A$13:$K$19,3,FALSE),0))</f>
        <v/>
      </c>
      <c r="P143" s="140">
        <f>IF($N143="","",$N143*$O143)</f>
        <v/>
      </c>
      <c r="Q143" s="139" t="n"/>
      <c r="R143" s="139" t="n"/>
      <c r="S143" s="139" t="n"/>
      <c r="T143" s="139" t="n"/>
      <c r="U143" s="140">
        <f>IF($J143="","",IFERROR($N143*VLOOKUP($J143,'Base Settings'!$A$13:$K$19,4,FALSE),0))</f>
        <v/>
      </c>
      <c r="V143" s="140">
        <f>IFERROR($N143/$S143,"")</f>
        <v/>
      </c>
      <c r="W143" s="140">
        <f>IFERROR($N143/$T143,"")</f>
        <v/>
      </c>
      <c r="X143" s="80" t="n"/>
      <c r="Y143" s="80" t="n"/>
    </row>
    <row r="144">
      <c r="A144" s="80" t="n"/>
      <c r="B144" s="138" t="n"/>
      <c r="C144" s="80" t="n"/>
      <c r="D144" s="80" t="n"/>
      <c r="E144" s="80" t="n"/>
      <c r="F144" s="80" t="n"/>
      <c r="G144" s="80" t="n"/>
      <c r="H144" s="80" t="n"/>
      <c r="I144" s="80" t="n"/>
      <c r="J144" s="80" t="n"/>
      <c r="K144" s="82">
        <f>IF($J144="","",IFERROR(VLOOKUP($J144,'Base Settings'!$A$13:$K$19,2,FALSE),""))</f>
        <v/>
      </c>
      <c r="L144" s="139" t="n"/>
      <c r="M144" s="139" t="n"/>
      <c r="N144" s="140">
        <f>IF(OR($L144="",$M144=""),"",MAX(0,$L144-$M144))</f>
        <v/>
      </c>
      <c r="O144" s="140">
        <f>IF($J144="","",IFERROR(VLOOKUP($J144,'Base Settings'!$A$13:$K$19,3,FALSE),0))</f>
        <v/>
      </c>
      <c r="P144" s="140">
        <f>IF($N144="","",$N144*$O144)</f>
        <v/>
      </c>
      <c r="Q144" s="139" t="n"/>
      <c r="R144" s="139" t="n"/>
      <c r="S144" s="139" t="n"/>
      <c r="T144" s="139" t="n"/>
      <c r="U144" s="140">
        <f>IF($J144="","",IFERROR($N144*VLOOKUP($J144,'Base Settings'!$A$13:$K$19,4,FALSE),0))</f>
        <v/>
      </c>
      <c r="V144" s="140">
        <f>IFERROR($N144/$S144,"")</f>
        <v/>
      </c>
      <c r="W144" s="140">
        <f>IFERROR($N144/$T144,"")</f>
        <v/>
      </c>
      <c r="X144" s="80" t="n"/>
      <c r="Y144" s="80" t="n"/>
    </row>
    <row r="145">
      <c r="A145" s="80" t="n"/>
      <c r="B145" s="138" t="n"/>
      <c r="C145" s="80" t="n"/>
      <c r="D145" s="80" t="n"/>
      <c r="E145" s="80" t="n"/>
      <c r="F145" s="80" t="n"/>
      <c r="G145" s="80" t="n"/>
      <c r="H145" s="80" t="n"/>
      <c r="I145" s="80" t="n"/>
      <c r="J145" s="80" t="n"/>
      <c r="K145" s="82">
        <f>IF($J145="","",IFERROR(VLOOKUP($J145,'Base Settings'!$A$13:$K$19,2,FALSE),""))</f>
        <v/>
      </c>
      <c r="L145" s="139" t="n"/>
      <c r="M145" s="139" t="n"/>
      <c r="N145" s="140">
        <f>IF(OR($L145="",$M145=""),"",MAX(0,$L145-$M145))</f>
        <v/>
      </c>
      <c r="O145" s="140">
        <f>IF($J145="","",IFERROR(VLOOKUP($J145,'Base Settings'!$A$13:$K$19,3,FALSE),0))</f>
        <v/>
      </c>
      <c r="P145" s="140">
        <f>IF($N145="","",$N145*$O145)</f>
        <v/>
      </c>
      <c r="Q145" s="139" t="n"/>
      <c r="R145" s="139" t="n"/>
      <c r="S145" s="139" t="n"/>
      <c r="T145" s="139" t="n"/>
      <c r="U145" s="140">
        <f>IF($J145="","",IFERROR($N145*VLOOKUP($J145,'Base Settings'!$A$13:$K$19,4,FALSE),0))</f>
        <v/>
      </c>
      <c r="V145" s="140">
        <f>IFERROR($N145/$S145,"")</f>
        <v/>
      </c>
      <c r="W145" s="140">
        <f>IFERROR($N145/$T145,"")</f>
        <v/>
      </c>
      <c r="X145" s="80" t="n"/>
      <c r="Y145" s="80" t="n"/>
    </row>
    <row r="146">
      <c r="A146" s="80" t="n"/>
      <c r="B146" s="138" t="n"/>
      <c r="C146" s="80" t="n"/>
      <c r="D146" s="80" t="n"/>
      <c r="E146" s="80" t="n"/>
      <c r="F146" s="80" t="n"/>
      <c r="G146" s="80" t="n"/>
      <c r="H146" s="80" t="n"/>
      <c r="I146" s="80" t="n"/>
      <c r="J146" s="80" t="n"/>
      <c r="K146" s="82">
        <f>IF($J146="","",IFERROR(VLOOKUP($J146,'Base Settings'!$A$13:$K$19,2,FALSE),""))</f>
        <v/>
      </c>
      <c r="L146" s="139" t="n"/>
      <c r="M146" s="139" t="n"/>
      <c r="N146" s="140">
        <f>IF(OR($L146="",$M146=""),"",MAX(0,$L146-$M146))</f>
        <v/>
      </c>
      <c r="O146" s="140">
        <f>IF($J146="","",IFERROR(VLOOKUP($J146,'Base Settings'!$A$13:$K$19,3,FALSE),0))</f>
        <v/>
      </c>
      <c r="P146" s="140">
        <f>IF($N146="","",$N146*$O146)</f>
        <v/>
      </c>
      <c r="Q146" s="139" t="n"/>
      <c r="R146" s="139" t="n"/>
      <c r="S146" s="139" t="n"/>
      <c r="T146" s="139" t="n"/>
      <c r="U146" s="140">
        <f>IF($J146="","",IFERROR($N146*VLOOKUP($J146,'Base Settings'!$A$13:$K$19,4,FALSE),0))</f>
        <v/>
      </c>
      <c r="V146" s="140">
        <f>IFERROR($N146/$S146,"")</f>
        <v/>
      </c>
      <c r="W146" s="140">
        <f>IFERROR($N146/$T146,"")</f>
        <v/>
      </c>
      <c r="X146" s="80" t="n"/>
      <c r="Y146" s="80" t="n"/>
    </row>
    <row r="147">
      <c r="A147" s="80" t="n"/>
      <c r="B147" s="138" t="n"/>
      <c r="C147" s="80" t="n"/>
      <c r="D147" s="80" t="n"/>
      <c r="E147" s="80" t="n"/>
      <c r="F147" s="80" t="n"/>
      <c r="G147" s="80" t="n"/>
      <c r="H147" s="80" t="n"/>
      <c r="I147" s="80" t="n"/>
      <c r="J147" s="80" t="n"/>
      <c r="K147" s="82">
        <f>IF($J147="","",IFERROR(VLOOKUP($J147,'Base Settings'!$A$13:$K$19,2,FALSE),""))</f>
        <v/>
      </c>
      <c r="L147" s="139" t="n"/>
      <c r="M147" s="139" t="n"/>
      <c r="N147" s="140">
        <f>IF(OR($L147="",$M147=""),"",MAX(0,$L147-$M147))</f>
        <v/>
      </c>
      <c r="O147" s="140">
        <f>IF($J147="","",IFERROR(VLOOKUP($J147,'Base Settings'!$A$13:$K$19,3,FALSE),0))</f>
        <v/>
      </c>
      <c r="P147" s="140">
        <f>IF($N147="","",$N147*$O147)</f>
        <v/>
      </c>
      <c r="Q147" s="139" t="n"/>
      <c r="R147" s="139" t="n"/>
      <c r="S147" s="139" t="n"/>
      <c r="T147" s="139" t="n"/>
      <c r="U147" s="140">
        <f>IF($J147="","",IFERROR($N147*VLOOKUP($J147,'Base Settings'!$A$13:$K$19,4,FALSE),0))</f>
        <v/>
      </c>
      <c r="V147" s="140">
        <f>IFERROR($N147/$S147,"")</f>
        <v/>
      </c>
      <c r="W147" s="140">
        <f>IFERROR($N147/$T147,"")</f>
        <v/>
      </c>
      <c r="X147" s="80" t="n"/>
      <c r="Y147" s="80" t="n"/>
    </row>
    <row r="148">
      <c r="A148" s="80" t="n"/>
      <c r="B148" s="138" t="n"/>
      <c r="C148" s="80" t="n"/>
      <c r="D148" s="80" t="n"/>
      <c r="E148" s="80" t="n"/>
      <c r="F148" s="80" t="n"/>
      <c r="G148" s="80" t="n"/>
      <c r="H148" s="80" t="n"/>
      <c r="I148" s="80" t="n"/>
      <c r="J148" s="80" t="n"/>
      <c r="K148" s="82">
        <f>IF($J148="","",IFERROR(VLOOKUP($J148,'Base Settings'!$A$13:$K$19,2,FALSE),""))</f>
        <v/>
      </c>
      <c r="L148" s="139" t="n"/>
      <c r="M148" s="139" t="n"/>
      <c r="N148" s="140">
        <f>IF(OR($L148="",$M148=""),"",MAX(0,$L148-$M148))</f>
        <v/>
      </c>
      <c r="O148" s="140">
        <f>IF($J148="","",IFERROR(VLOOKUP($J148,'Base Settings'!$A$13:$K$19,3,FALSE),0))</f>
        <v/>
      </c>
      <c r="P148" s="140">
        <f>IF($N148="","",$N148*$O148)</f>
        <v/>
      </c>
      <c r="Q148" s="139" t="n"/>
      <c r="R148" s="139" t="n"/>
      <c r="S148" s="139" t="n"/>
      <c r="T148" s="139" t="n"/>
      <c r="U148" s="140">
        <f>IF($J148="","",IFERROR($N148*VLOOKUP($J148,'Base Settings'!$A$13:$K$19,4,FALSE),0))</f>
        <v/>
      </c>
      <c r="V148" s="140">
        <f>IFERROR($N148/$S148,"")</f>
        <v/>
      </c>
      <c r="W148" s="140">
        <f>IFERROR($N148/$T148,"")</f>
        <v/>
      </c>
      <c r="X148" s="80" t="n"/>
      <c r="Y148" s="80" t="n"/>
    </row>
    <row r="149">
      <c r="A149" s="80" t="n"/>
      <c r="B149" s="138" t="n"/>
      <c r="C149" s="80" t="n"/>
      <c r="D149" s="80" t="n"/>
      <c r="E149" s="80" t="n"/>
      <c r="F149" s="80" t="n"/>
      <c r="G149" s="80" t="n"/>
      <c r="H149" s="80" t="n"/>
      <c r="I149" s="80" t="n"/>
      <c r="J149" s="80" t="n"/>
      <c r="K149" s="82">
        <f>IF($J149="","",IFERROR(VLOOKUP($J149,'Base Settings'!$A$13:$K$19,2,FALSE),""))</f>
        <v/>
      </c>
      <c r="L149" s="139" t="n"/>
      <c r="M149" s="139" t="n"/>
      <c r="N149" s="140">
        <f>IF(OR($L149="",$M149=""),"",MAX(0,$L149-$M149))</f>
        <v/>
      </c>
      <c r="O149" s="140">
        <f>IF($J149="","",IFERROR(VLOOKUP($J149,'Base Settings'!$A$13:$K$19,3,FALSE),0))</f>
        <v/>
      </c>
      <c r="P149" s="140">
        <f>IF($N149="","",$N149*$O149)</f>
        <v/>
      </c>
      <c r="Q149" s="139" t="n"/>
      <c r="R149" s="139" t="n"/>
      <c r="S149" s="139" t="n"/>
      <c r="T149" s="139" t="n"/>
      <c r="U149" s="140">
        <f>IF($J149="","",IFERROR($N149*VLOOKUP($J149,'Base Settings'!$A$13:$K$19,4,FALSE),0))</f>
        <v/>
      </c>
      <c r="V149" s="140">
        <f>IFERROR($N149/$S149,"")</f>
        <v/>
      </c>
      <c r="W149" s="140">
        <f>IFERROR($N149/$T149,"")</f>
        <v/>
      </c>
      <c r="X149" s="80" t="n"/>
      <c r="Y149" s="80" t="n"/>
    </row>
    <row r="150">
      <c r="A150" s="80" t="n"/>
      <c r="B150" s="138" t="n"/>
      <c r="C150" s="80" t="n"/>
      <c r="D150" s="80" t="n"/>
      <c r="E150" s="80" t="n"/>
      <c r="F150" s="80" t="n"/>
      <c r="G150" s="80" t="n"/>
      <c r="H150" s="80" t="n"/>
      <c r="I150" s="80" t="n"/>
      <c r="J150" s="80" t="n"/>
      <c r="K150" s="82">
        <f>IF($J150="","",IFERROR(VLOOKUP($J150,'Base Settings'!$A$13:$K$19,2,FALSE),""))</f>
        <v/>
      </c>
      <c r="L150" s="139" t="n"/>
      <c r="M150" s="139" t="n"/>
      <c r="N150" s="140">
        <f>IF(OR($L150="",$M150=""),"",MAX(0,$L150-$M150))</f>
        <v/>
      </c>
      <c r="O150" s="140">
        <f>IF($J150="","",IFERROR(VLOOKUP($J150,'Base Settings'!$A$13:$K$19,3,FALSE),0))</f>
        <v/>
      </c>
      <c r="P150" s="140">
        <f>IF($N150="","",$N150*$O150)</f>
        <v/>
      </c>
      <c r="Q150" s="139" t="n"/>
      <c r="R150" s="139" t="n"/>
      <c r="S150" s="139" t="n"/>
      <c r="T150" s="139" t="n"/>
      <c r="U150" s="140">
        <f>IF($J150="","",IFERROR($N150*VLOOKUP($J150,'Base Settings'!$A$13:$K$19,4,FALSE),0))</f>
        <v/>
      </c>
      <c r="V150" s="140">
        <f>IFERROR($N150/$S150,"")</f>
        <v/>
      </c>
      <c r="W150" s="140">
        <f>IFERROR($N150/$T150,"")</f>
        <v/>
      </c>
      <c r="X150" s="80" t="n"/>
      <c r="Y150" s="80" t="n"/>
    </row>
    <row r="151">
      <c r="A151" s="80" t="n"/>
      <c r="B151" s="138" t="n"/>
      <c r="C151" s="80" t="n"/>
      <c r="D151" s="80" t="n"/>
      <c r="E151" s="80" t="n"/>
      <c r="F151" s="80" t="n"/>
      <c r="G151" s="80" t="n"/>
      <c r="H151" s="80" t="n"/>
      <c r="I151" s="80" t="n"/>
      <c r="J151" s="80" t="n"/>
      <c r="K151" s="82">
        <f>IF($J151="","",IFERROR(VLOOKUP($J151,'Base Settings'!$A$13:$K$19,2,FALSE),""))</f>
        <v/>
      </c>
      <c r="L151" s="139" t="n"/>
      <c r="M151" s="139" t="n"/>
      <c r="N151" s="140">
        <f>IF(OR($L151="",$M151=""),"",MAX(0,$L151-$M151))</f>
        <v/>
      </c>
      <c r="O151" s="140">
        <f>IF($J151="","",IFERROR(VLOOKUP($J151,'Base Settings'!$A$13:$K$19,3,FALSE),0))</f>
        <v/>
      </c>
      <c r="P151" s="140">
        <f>IF($N151="","",$N151*$O151)</f>
        <v/>
      </c>
      <c r="Q151" s="139" t="n"/>
      <c r="R151" s="139" t="n"/>
      <c r="S151" s="139" t="n"/>
      <c r="T151" s="139" t="n"/>
      <c r="U151" s="140">
        <f>IF($J151="","",IFERROR($N151*VLOOKUP($J151,'Base Settings'!$A$13:$K$19,4,FALSE),0))</f>
        <v/>
      </c>
      <c r="V151" s="140">
        <f>IFERROR($N151/$S151,"")</f>
        <v/>
      </c>
      <c r="W151" s="140">
        <f>IFERROR($N151/$T151,"")</f>
        <v/>
      </c>
      <c r="X151" s="80" t="n"/>
      <c r="Y151" s="80" t="n"/>
    </row>
    <row r="152">
      <c r="A152" s="80" t="n"/>
      <c r="B152" s="138" t="n"/>
      <c r="C152" s="80" t="n"/>
      <c r="D152" s="80" t="n"/>
      <c r="E152" s="80" t="n"/>
      <c r="F152" s="80" t="n"/>
      <c r="G152" s="80" t="n"/>
      <c r="H152" s="80" t="n"/>
      <c r="I152" s="80" t="n"/>
      <c r="J152" s="80" t="n"/>
      <c r="K152" s="82">
        <f>IF($J152="","",IFERROR(VLOOKUP($J152,'Base Settings'!$A$13:$K$19,2,FALSE),""))</f>
        <v/>
      </c>
      <c r="L152" s="139" t="n"/>
      <c r="M152" s="139" t="n"/>
      <c r="N152" s="140">
        <f>IF(OR($L152="",$M152=""),"",MAX(0,$L152-$M152))</f>
        <v/>
      </c>
      <c r="O152" s="140">
        <f>IF($J152="","",IFERROR(VLOOKUP($J152,'Base Settings'!$A$13:$K$19,3,FALSE),0))</f>
        <v/>
      </c>
      <c r="P152" s="140">
        <f>IF($N152="","",$N152*$O152)</f>
        <v/>
      </c>
      <c r="Q152" s="139" t="n"/>
      <c r="R152" s="139" t="n"/>
      <c r="S152" s="139" t="n"/>
      <c r="T152" s="139" t="n"/>
      <c r="U152" s="140">
        <f>IF($J152="","",IFERROR($N152*VLOOKUP($J152,'Base Settings'!$A$13:$K$19,4,FALSE),0))</f>
        <v/>
      </c>
      <c r="V152" s="140">
        <f>IFERROR($N152/$S152,"")</f>
        <v/>
      </c>
      <c r="W152" s="140">
        <f>IFERROR($N152/$T152,"")</f>
        <v/>
      </c>
      <c r="X152" s="80" t="n"/>
      <c r="Y152" s="80" t="n"/>
    </row>
    <row r="153">
      <c r="A153" s="80" t="n"/>
      <c r="B153" s="138" t="n"/>
      <c r="C153" s="80" t="n"/>
      <c r="D153" s="80" t="n"/>
      <c r="E153" s="80" t="n"/>
      <c r="F153" s="80" t="n"/>
      <c r="G153" s="80" t="n"/>
      <c r="H153" s="80" t="n"/>
      <c r="I153" s="80" t="n"/>
      <c r="J153" s="80" t="n"/>
      <c r="K153" s="82">
        <f>IF($J153="","",IFERROR(VLOOKUP($J153,'Base Settings'!$A$13:$K$19,2,FALSE),""))</f>
        <v/>
      </c>
      <c r="L153" s="139" t="n"/>
      <c r="M153" s="139" t="n"/>
      <c r="N153" s="140">
        <f>IF(OR($L153="",$M153=""),"",MAX(0,$L153-$M153))</f>
        <v/>
      </c>
      <c r="O153" s="140">
        <f>IF($J153="","",IFERROR(VLOOKUP($J153,'Base Settings'!$A$13:$K$19,3,FALSE),0))</f>
        <v/>
      </c>
      <c r="P153" s="140">
        <f>IF($N153="","",$N153*$O153)</f>
        <v/>
      </c>
      <c r="Q153" s="139" t="n"/>
      <c r="R153" s="139" t="n"/>
      <c r="S153" s="139" t="n"/>
      <c r="T153" s="139" t="n"/>
      <c r="U153" s="140">
        <f>IF($J153="","",IFERROR($N153*VLOOKUP($J153,'Base Settings'!$A$13:$K$19,4,FALSE),0))</f>
        <v/>
      </c>
      <c r="V153" s="140">
        <f>IFERROR($N153/$S153,"")</f>
        <v/>
      </c>
      <c r="W153" s="140">
        <f>IFERROR($N153/$T153,"")</f>
        <v/>
      </c>
      <c r="X153" s="80" t="n"/>
      <c r="Y153" s="80" t="n"/>
    </row>
    <row r="154">
      <c r="A154" s="80" t="n"/>
      <c r="B154" s="138" t="n"/>
      <c r="C154" s="80" t="n"/>
      <c r="D154" s="80" t="n"/>
      <c r="E154" s="80" t="n"/>
      <c r="F154" s="80" t="n"/>
      <c r="G154" s="80" t="n"/>
      <c r="H154" s="80" t="n"/>
      <c r="I154" s="80" t="n"/>
      <c r="J154" s="80" t="n"/>
      <c r="K154" s="82">
        <f>IF($J154="","",IFERROR(VLOOKUP($J154,'Base Settings'!$A$13:$K$19,2,FALSE),""))</f>
        <v/>
      </c>
      <c r="L154" s="139" t="n"/>
      <c r="M154" s="139" t="n"/>
      <c r="N154" s="140">
        <f>IF(OR($L154="",$M154=""),"",MAX(0,$L154-$M154))</f>
        <v/>
      </c>
      <c r="O154" s="140">
        <f>IF($J154="","",IFERROR(VLOOKUP($J154,'Base Settings'!$A$13:$K$19,3,FALSE),0))</f>
        <v/>
      </c>
      <c r="P154" s="140">
        <f>IF($N154="","",$N154*$O154)</f>
        <v/>
      </c>
      <c r="Q154" s="139" t="n"/>
      <c r="R154" s="139" t="n"/>
      <c r="S154" s="139" t="n"/>
      <c r="T154" s="139" t="n"/>
      <c r="U154" s="140">
        <f>IF($J154="","",IFERROR($N154*VLOOKUP($J154,'Base Settings'!$A$13:$K$19,4,FALSE),0))</f>
        <v/>
      </c>
      <c r="V154" s="140">
        <f>IFERROR($N154/$S154,"")</f>
        <v/>
      </c>
      <c r="W154" s="140">
        <f>IFERROR($N154/$T154,"")</f>
        <v/>
      </c>
      <c r="X154" s="80" t="n"/>
      <c r="Y154" s="80" t="n"/>
    </row>
    <row r="155">
      <c r="A155" s="80" t="n"/>
      <c r="B155" s="138" t="n"/>
      <c r="C155" s="80" t="n"/>
      <c r="D155" s="80" t="n"/>
      <c r="E155" s="80" t="n"/>
      <c r="F155" s="80" t="n"/>
      <c r="G155" s="80" t="n"/>
      <c r="H155" s="80" t="n"/>
      <c r="I155" s="80" t="n"/>
      <c r="J155" s="80" t="n"/>
      <c r="K155" s="82">
        <f>IF($J155="","",IFERROR(VLOOKUP($J155,'Base Settings'!$A$13:$K$19,2,FALSE),""))</f>
        <v/>
      </c>
      <c r="L155" s="139" t="n"/>
      <c r="M155" s="139" t="n"/>
      <c r="N155" s="140">
        <f>IF(OR($L155="",$M155=""),"",MAX(0,$L155-$M155))</f>
        <v/>
      </c>
      <c r="O155" s="140">
        <f>IF($J155="","",IFERROR(VLOOKUP($J155,'Base Settings'!$A$13:$K$19,3,FALSE),0))</f>
        <v/>
      </c>
      <c r="P155" s="140">
        <f>IF($N155="","",$N155*$O155)</f>
        <v/>
      </c>
      <c r="Q155" s="139" t="n"/>
      <c r="R155" s="139" t="n"/>
      <c r="S155" s="139" t="n"/>
      <c r="T155" s="139" t="n"/>
      <c r="U155" s="140">
        <f>IF($J155="","",IFERROR($N155*VLOOKUP($J155,'Base Settings'!$A$13:$K$19,4,FALSE),0))</f>
        <v/>
      </c>
      <c r="V155" s="140">
        <f>IFERROR($N155/$S155,"")</f>
        <v/>
      </c>
      <c r="W155" s="140">
        <f>IFERROR($N155/$T155,"")</f>
        <v/>
      </c>
      <c r="X155" s="80" t="n"/>
      <c r="Y155" s="80" t="n"/>
    </row>
    <row r="156">
      <c r="A156" s="80" t="n"/>
      <c r="B156" s="138" t="n"/>
      <c r="C156" s="80" t="n"/>
      <c r="D156" s="80" t="n"/>
      <c r="E156" s="80" t="n"/>
      <c r="F156" s="80" t="n"/>
      <c r="G156" s="80" t="n"/>
      <c r="H156" s="80" t="n"/>
      <c r="I156" s="80" t="n"/>
      <c r="J156" s="80" t="n"/>
      <c r="K156" s="82">
        <f>IF($J156="","",IFERROR(VLOOKUP($J156,'Base Settings'!$A$13:$K$19,2,FALSE),""))</f>
        <v/>
      </c>
      <c r="L156" s="139" t="n"/>
      <c r="M156" s="139" t="n"/>
      <c r="N156" s="140">
        <f>IF(OR($L156="",$M156=""),"",MAX(0,$L156-$M156))</f>
        <v/>
      </c>
      <c r="O156" s="140">
        <f>IF($J156="","",IFERROR(VLOOKUP($J156,'Base Settings'!$A$13:$K$19,3,FALSE),0))</f>
        <v/>
      </c>
      <c r="P156" s="140">
        <f>IF($N156="","",$N156*$O156)</f>
        <v/>
      </c>
      <c r="Q156" s="139" t="n"/>
      <c r="R156" s="139" t="n"/>
      <c r="S156" s="139" t="n"/>
      <c r="T156" s="139" t="n"/>
      <c r="U156" s="140">
        <f>IF($J156="","",IFERROR($N156*VLOOKUP($J156,'Base Settings'!$A$13:$K$19,4,FALSE),0))</f>
        <v/>
      </c>
      <c r="V156" s="140">
        <f>IFERROR($N156/$S156,"")</f>
        <v/>
      </c>
      <c r="W156" s="140">
        <f>IFERROR($N156/$T156,"")</f>
        <v/>
      </c>
      <c r="X156" s="80" t="n"/>
      <c r="Y156" s="80" t="n"/>
    </row>
    <row r="157">
      <c r="A157" s="80" t="n"/>
      <c r="B157" s="138" t="n"/>
      <c r="C157" s="80" t="n"/>
      <c r="D157" s="80" t="n"/>
      <c r="E157" s="80" t="n"/>
      <c r="F157" s="80" t="n"/>
      <c r="G157" s="80" t="n"/>
      <c r="H157" s="80" t="n"/>
      <c r="I157" s="80" t="n"/>
      <c r="J157" s="80" t="n"/>
      <c r="K157" s="82">
        <f>IF($J157="","",IFERROR(VLOOKUP($J157,'Base Settings'!$A$13:$K$19,2,FALSE),""))</f>
        <v/>
      </c>
      <c r="L157" s="139" t="n"/>
      <c r="M157" s="139" t="n"/>
      <c r="N157" s="140">
        <f>IF(OR($L157="",$M157=""),"",MAX(0,$L157-$M157))</f>
        <v/>
      </c>
      <c r="O157" s="140">
        <f>IF($J157="","",IFERROR(VLOOKUP($J157,'Base Settings'!$A$13:$K$19,3,FALSE),0))</f>
        <v/>
      </c>
      <c r="P157" s="140">
        <f>IF($N157="","",$N157*$O157)</f>
        <v/>
      </c>
      <c r="Q157" s="139" t="n"/>
      <c r="R157" s="139" t="n"/>
      <c r="S157" s="139" t="n"/>
      <c r="T157" s="139" t="n"/>
      <c r="U157" s="140">
        <f>IF($J157="","",IFERROR($N157*VLOOKUP($J157,'Base Settings'!$A$13:$K$19,4,FALSE),0))</f>
        <v/>
      </c>
      <c r="V157" s="140">
        <f>IFERROR($N157/$S157,"")</f>
        <v/>
      </c>
      <c r="W157" s="140">
        <f>IFERROR($N157/$T157,"")</f>
        <v/>
      </c>
      <c r="X157" s="80" t="n"/>
      <c r="Y157" s="80" t="n"/>
    </row>
    <row r="158">
      <c r="A158" s="80" t="n"/>
      <c r="B158" s="138" t="n"/>
      <c r="C158" s="80" t="n"/>
      <c r="D158" s="80" t="n"/>
      <c r="E158" s="80" t="n"/>
      <c r="F158" s="80" t="n"/>
      <c r="G158" s="80" t="n"/>
      <c r="H158" s="80" t="n"/>
      <c r="I158" s="80" t="n"/>
      <c r="J158" s="80" t="n"/>
      <c r="K158" s="82">
        <f>IF($J158="","",IFERROR(VLOOKUP($J158,'Base Settings'!$A$13:$K$19,2,FALSE),""))</f>
        <v/>
      </c>
      <c r="L158" s="139" t="n"/>
      <c r="M158" s="139" t="n"/>
      <c r="N158" s="140">
        <f>IF(OR($L158="",$M158=""),"",MAX(0,$L158-$M158))</f>
        <v/>
      </c>
      <c r="O158" s="140">
        <f>IF($J158="","",IFERROR(VLOOKUP($J158,'Base Settings'!$A$13:$K$19,3,FALSE),0))</f>
        <v/>
      </c>
      <c r="P158" s="140">
        <f>IF($N158="","",$N158*$O158)</f>
        <v/>
      </c>
      <c r="Q158" s="139" t="n"/>
      <c r="R158" s="139" t="n"/>
      <c r="S158" s="139" t="n"/>
      <c r="T158" s="139" t="n"/>
      <c r="U158" s="140">
        <f>IF($J158="","",IFERROR($N158*VLOOKUP($J158,'Base Settings'!$A$13:$K$19,4,FALSE),0))</f>
        <v/>
      </c>
      <c r="V158" s="140">
        <f>IFERROR($N158/$S158,"")</f>
        <v/>
      </c>
      <c r="W158" s="140">
        <f>IFERROR($N158/$T158,"")</f>
        <v/>
      </c>
      <c r="X158" s="80" t="n"/>
      <c r="Y158" s="80" t="n"/>
    </row>
    <row r="159">
      <c r="A159" s="80" t="n"/>
      <c r="B159" s="138" t="n"/>
      <c r="C159" s="80" t="n"/>
      <c r="D159" s="80" t="n"/>
      <c r="E159" s="80" t="n"/>
      <c r="F159" s="80" t="n"/>
      <c r="G159" s="80" t="n"/>
      <c r="H159" s="80" t="n"/>
      <c r="I159" s="80" t="n"/>
      <c r="J159" s="80" t="n"/>
      <c r="K159" s="82">
        <f>IF($J159="","",IFERROR(VLOOKUP($J159,'Base Settings'!$A$13:$K$19,2,FALSE),""))</f>
        <v/>
      </c>
      <c r="L159" s="139" t="n"/>
      <c r="M159" s="139" t="n"/>
      <c r="N159" s="140">
        <f>IF(OR($L159="",$M159=""),"",MAX(0,$L159-$M159))</f>
        <v/>
      </c>
      <c r="O159" s="140">
        <f>IF($J159="","",IFERROR(VLOOKUP($J159,'Base Settings'!$A$13:$K$19,3,FALSE),0))</f>
        <v/>
      </c>
      <c r="P159" s="140">
        <f>IF($N159="","",$N159*$O159)</f>
        <v/>
      </c>
      <c r="Q159" s="139" t="n"/>
      <c r="R159" s="139" t="n"/>
      <c r="S159" s="139" t="n"/>
      <c r="T159" s="139" t="n"/>
      <c r="U159" s="140">
        <f>IF($J159="","",IFERROR($N159*VLOOKUP($J159,'Base Settings'!$A$13:$K$19,4,FALSE),0))</f>
        <v/>
      </c>
      <c r="V159" s="140">
        <f>IFERROR($N159/$S159,"")</f>
        <v/>
      </c>
      <c r="W159" s="140">
        <f>IFERROR($N159/$T159,"")</f>
        <v/>
      </c>
      <c r="X159" s="80" t="n"/>
      <c r="Y159" s="80" t="n"/>
    </row>
    <row r="160">
      <c r="A160" s="80" t="n"/>
      <c r="B160" s="138" t="n"/>
      <c r="C160" s="80" t="n"/>
      <c r="D160" s="80" t="n"/>
      <c r="E160" s="80" t="n"/>
      <c r="F160" s="80" t="n"/>
      <c r="G160" s="80" t="n"/>
      <c r="H160" s="80" t="n"/>
      <c r="I160" s="80" t="n"/>
      <c r="J160" s="80" t="n"/>
      <c r="K160" s="82">
        <f>IF($J160="","",IFERROR(VLOOKUP($J160,'Base Settings'!$A$13:$K$19,2,FALSE),""))</f>
        <v/>
      </c>
      <c r="L160" s="139" t="n"/>
      <c r="M160" s="139" t="n"/>
      <c r="N160" s="140">
        <f>IF(OR($L160="",$M160=""),"",MAX(0,$L160-$M160))</f>
        <v/>
      </c>
      <c r="O160" s="140">
        <f>IF($J160="","",IFERROR(VLOOKUP($J160,'Base Settings'!$A$13:$K$19,3,FALSE),0))</f>
        <v/>
      </c>
      <c r="P160" s="140">
        <f>IF($N160="","",$N160*$O160)</f>
        <v/>
      </c>
      <c r="Q160" s="139" t="n"/>
      <c r="R160" s="139" t="n"/>
      <c r="S160" s="139" t="n"/>
      <c r="T160" s="139" t="n"/>
      <c r="U160" s="140">
        <f>IF($J160="","",IFERROR($N160*VLOOKUP($J160,'Base Settings'!$A$13:$K$19,4,FALSE),0))</f>
        <v/>
      </c>
      <c r="V160" s="140">
        <f>IFERROR($N160/$S160,"")</f>
        <v/>
      </c>
      <c r="W160" s="140">
        <f>IFERROR($N160/$T160,"")</f>
        <v/>
      </c>
      <c r="X160" s="80" t="n"/>
      <c r="Y160" s="80" t="n"/>
    </row>
    <row r="161">
      <c r="A161" s="80" t="n"/>
      <c r="B161" s="138" t="n"/>
      <c r="C161" s="80" t="n"/>
      <c r="D161" s="80" t="n"/>
      <c r="E161" s="80" t="n"/>
      <c r="F161" s="80" t="n"/>
      <c r="G161" s="80" t="n"/>
      <c r="H161" s="80" t="n"/>
      <c r="I161" s="80" t="n"/>
      <c r="J161" s="80" t="n"/>
      <c r="K161" s="82">
        <f>IF($J161="","",IFERROR(VLOOKUP($J161,'Base Settings'!$A$13:$K$19,2,FALSE),""))</f>
        <v/>
      </c>
      <c r="L161" s="139" t="n"/>
      <c r="M161" s="139" t="n"/>
      <c r="N161" s="140">
        <f>IF(OR($L161="",$M161=""),"",MAX(0,$L161-$M161))</f>
        <v/>
      </c>
      <c r="O161" s="140">
        <f>IF($J161="","",IFERROR(VLOOKUP($J161,'Base Settings'!$A$13:$K$19,3,FALSE),0))</f>
        <v/>
      </c>
      <c r="P161" s="140">
        <f>IF($N161="","",$N161*$O161)</f>
        <v/>
      </c>
      <c r="Q161" s="139" t="n"/>
      <c r="R161" s="139" t="n"/>
      <c r="S161" s="139" t="n"/>
      <c r="T161" s="139" t="n"/>
      <c r="U161" s="140">
        <f>IF($J161="","",IFERROR($N161*VLOOKUP($J161,'Base Settings'!$A$13:$K$19,4,FALSE),0))</f>
        <v/>
      </c>
      <c r="V161" s="140">
        <f>IFERROR($N161/$S161,"")</f>
        <v/>
      </c>
      <c r="W161" s="140">
        <f>IFERROR($N161/$T161,"")</f>
        <v/>
      </c>
      <c r="X161" s="80" t="n"/>
      <c r="Y161" s="80" t="n"/>
    </row>
    <row r="162">
      <c r="A162" s="80" t="n"/>
      <c r="B162" s="138" t="n"/>
      <c r="C162" s="80" t="n"/>
      <c r="D162" s="80" t="n"/>
      <c r="E162" s="80" t="n"/>
      <c r="F162" s="80" t="n"/>
      <c r="G162" s="80" t="n"/>
      <c r="H162" s="80" t="n"/>
      <c r="I162" s="80" t="n"/>
      <c r="J162" s="80" t="n"/>
      <c r="K162" s="82">
        <f>IF($J162="","",IFERROR(VLOOKUP($J162,'Base Settings'!$A$13:$K$19,2,FALSE),""))</f>
        <v/>
      </c>
      <c r="L162" s="139" t="n"/>
      <c r="M162" s="139" t="n"/>
      <c r="N162" s="140">
        <f>IF(OR($L162="",$M162=""),"",MAX(0,$L162-$M162))</f>
        <v/>
      </c>
      <c r="O162" s="140">
        <f>IF($J162="","",IFERROR(VLOOKUP($J162,'Base Settings'!$A$13:$K$19,3,FALSE),0))</f>
        <v/>
      </c>
      <c r="P162" s="140">
        <f>IF($N162="","",$N162*$O162)</f>
        <v/>
      </c>
      <c r="Q162" s="139" t="n"/>
      <c r="R162" s="139" t="n"/>
      <c r="S162" s="139" t="n"/>
      <c r="T162" s="139" t="n"/>
      <c r="U162" s="140">
        <f>IF($J162="","",IFERROR($N162*VLOOKUP($J162,'Base Settings'!$A$13:$K$19,4,FALSE),0))</f>
        <v/>
      </c>
      <c r="V162" s="140">
        <f>IFERROR($N162/$S162,"")</f>
        <v/>
      </c>
      <c r="W162" s="140">
        <f>IFERROR($N162/$T162,"")</f>
        <v/>
      </c>
      <c r="X162" s="80" t="n"/>
      <c r="Y162" s="80" t="n"/>
    </row>
    <row r="163">
      <c r="A163" s="80" t="n"/>
      <c r="B163" s="138" t="n"/>
      <c r="C163" s="80" t="n"/>
      <c r="D163" s="80" t="n"/>
      <c r="E163" s="80" t="n"/>
      <c r="F163" s="80" t="n"/>
      <c r="G163" s="80" t="n"/>
      <c r="H163" s="80" t="n"/>
      <c r="I163" s="80" t="n"/>
      <c r="J163" s="80" t="n"/>
      <c r="K163" s="82">
        <f>IF($J163="","",IFERROR(VLOOKUP($J163,'Base Settings'!$A$13:$K$19,2,FALSE),""))</f>
        <v/>
      </c>
      <c r="L163" s="139" t="n"/>
      <c r="M163" s="139" t="n"/>
      <c r="N163" s="140">
        <f>IF(OR($L163="",$M163=""),"",MAX(0,$L163-$M163))</f>
        <v/>
      </c>
      <c r="O163" s="140">
        <f>IF($J163="","",IFERROR(VLOOKUP($J163,'Base Settings'!$A$13:$K$19,3,FALSE),0))</f>
        <v/>
      </c>
      <c r="P163" s="140">
        <f>IF($N163="","",$N163*$O163)</f>
        <v/>
      </c>
      <c r="Q163" s="139" t="n"/>
      <c r="R163" s="139" t="n"/>
      <c r="S163" s="139" t="n"/>
      <c r="T163" s="139" t="n"/>
      <c r="U163" s="140">
        <f>IF($J163="","",IFERROR($N163*VLOOKUP($J163,'Base Settings'!$A$13:$K$19,4,FALSE),0))</f>
        <v/>
      </c>
      <c r="V163" s="140">
        <f>IFERROR($N163/$S163,"")</f>
        <v/>
      </c>
      <c r="W163" s="140">
        <f>IFERROR($N163/$T163,"")</f>
        <v/>
      </c>
      <c r="X163" s="80" t="n"/>
      <c r="Y163" s="80" t="n"/>
    </row>
    <row r="164">
      <c r="A164" s="80" t="n"/>
      <c r="B164" s="138" t="n"/>
      <c r="C164" s="80" t="n"/>
      <c r="D164" s="80" t="n"/>
      <c r="E164" s="80" t="n"/>
      <c r="F164" s="80" t="n"/>
      <c r="G164" s="80" t="n"/>
      <c r="H164" s="80" t="n"/>
      <c r="I164" s="80" t="n"/>
      <c r="J164" s="80" t="n"/>
      <c r="K164" s="82">
        <f>IF($J164="","",IFERROR(VLOOKUP($J164,'Base Settings'!$A$13:$K$19,2,FALSE),""))</f>
        <v/>
      </c>
      <c r="L164" s="139" t="n"/>
      <c r="M164" s="139" t="n"/>
      <c r="N164" s="140">
        <f>IF(OR($L164="",$M164=""),"",MAX(0,$L164-$M164))</f>
        <v/>
      </c>
      <c r="O164" s="140">
        <f>IF($J164="","",IFERROR(VLOOKUP($J164,'Base Settings'!$A$13:$K$19,3,FALSE),0))</f>
        <v/>
      </c>
      <c r="P164" s="140">
        <f>IF($N164="","",$N164*$O164)</f>
        <v/>
      </c>
      <c r="Q164" s="139" t="n"/>
      <c r="R164" s="139" t="n"/>
      <c r="S164" s="139" t="n"/>
      <c r="T164" s="139" t="n"/>
      <c r="U164" s="140">
        <f>IF($J164="","",IFERROR($N164*VLOOKUP($J164,'Base Settings'!$A$13:$K$19,4,FALSE),0))</f>
        <v/>
      </c>
      <c r="V164" s="140">
        <f>IFERROR($N164/$S164,"")</f>
        <v/>
      </c>
      <c r="W164" s="140">
        <f>IFERROR($N164/$T164,"")</f>
        <v/>
      </c>
      <c r="X164" s="80" t="n"/>
      <c r="Y164" s="80" t="n"/>
    </row>
    <row r="165">
      <c r="A165" s="80" t="n"/>
      <c r="B165" s="138" t="n"/>
      <c r="C165" s="80" t="n"/>
      <c r="D165" s="80" t="n"/>
      <c r="E165" s="80" t="n"/>
      <c r="F165" s="80" t="n"/>
      <c r="G165" s="80" t="n"/>
      <c r="H165" s="80" t="n"/>
      <c r="I165" s="80" t="n"/>
      <c r="J165" s="80" t="n"/>
      <c r="K165" s="82">
        <f>IF($J165="","",IFERROR(VLOOKUP($J165,'Base Settings'!$A$13:$K$19,2,FALSE),""))</f>
        <v/>
      </c>
      <c r="L165" s="139" t="n"/>
      <c r="M165" s="139" t="n"/>
      <c r="N165" s="140">
        <f>IF(OR($L165="",$M165=""),"",MAX(0,$L165-$M165))</f>
        <v/>
      </c>
      <c r="O165" s="140">
        <f>IF($J165="","",IFERROR(VLOOKUP($J165,'Base Settings'!$A$13:$K$19,3,FALSE),0))</f>
        <v/>
      </c>
      <c r="P165" s="140">
        <f>IF($N165="","",$N165*$O165)</f>
        <v/>
      </c>
      <c r="Q165" s="139" t="n"/>
      <c r="R165" s="139" t="n"/>
      <c r="S165" s="139" t="n"/>
      <c r="T165" s="139" t="n"/>
      <c r="U165" s="140">
        <f>IF($J165="","",IFERROR($N165*VLOOKUP($J165,'Base Settings'!$A$13:$K$19,4,FALSE),0))</f>
        <v/>
      </c>
      <c r="V165" s="140">
        <f>IFERROR($N165/$S165,"")</f>
        <v/>
      </c>
      <c r="W165" s="140">
        <f>IFERROR($N165/$T165,"")</f>
        <v/>
      </c>
      <c r="X165" s="80" t="n"/>
      <c r="Y165" s="80" t="n"/>
    </row>
    <row r="166">
      <c r="A166" s="80" t="n"/>
      <c r="B166" s="138" t="n"/>
      <c r="C166" s="80" t="n"/>
      <c r="D166" s="80" t="n"/>
      <c r="E166" s="80" t="n"/>
      <c r="F166" s="80" t="n"/>
      <c r="G166" s="80" t="n"/>
      <c r="H166" s="80" t="n"/>
      <c r="I166" s="80" t="n"/>
      <c r="J166" s="80" t="n"/>
      <c r="K166" s="82">
        <f>IF($J166="","",IFERROR(VLOOKUP($J166,'Base Settings'!$A$13:$K$19,2,FALSE),""))</f>
        <v/>
      </c>
      <c r="L166" s="139" t="n"/>
      <c r="M166" s="139" t="n"/>
      <c r="N166" s="140">
        <f>IF(OR($L166="",$M166=""),"",MAX(0,$L166-$M166))</f>
        <v/>
      </c>
      <c r="O166" s="140">
        <f>IF($J166="","",IFERROR(VLOOKUP($J166,'Base Settings'!$A$13:$K$19,3,FALSE),0))</f>
        <v/>
      </c>
      <c r="P166" s="140">
        <f>IF($N166="","",$N166*$O166)</f>
        <v/>
      </c>
      <c r="Q166" s="139" t="n"/>
      <c r="R166" s="139" t="n"/>
      <c r="S166" s="139" t="n"/>
      <c r="T166" s="139" t="n"/>
      <c r="U166" s="140">
        <f>IF($J166="","",IFERROR($N166*VLOOKUP($J166,'Base Settings'!$A$13:$K$19,4,FALSE),0))</f>
        <v/>
      </c>
      <c r="V166" s="140">
        <f>IFERROR($N166/$S166,"")</f>
        <v/>
      </c>
      <c r="W166" s="140">
        <f>IFERROR($N166/$T166,"")</f>
        <v/>
      </c>
      <c r="X166" s="80" t="n"/>
      <c r="Y166" s="80" t="n"/>
    </row>
    <row r="167">
      <c r="A167" s="80" t="n"/>
      <c r="B167" s="138" t="n"/>
      <c r="C167" s="80" t="n"/>
      <c r="D167" s="80" t="n"/>
      <c r="E167" s="80" t="n"/>
      <c r="F167" s="80" t="n"/>
      <c r="G167" s="80" t="n"/>
      <c r="H167" s="80" t="n"/>
      <c r="I167" s="80" t="n"/>
      <c r="J167" s="80" t="n"/>
      <c r="K167" s="82">
        <f>IF($J167="","",IFERROR(VLOOKUP($J167,'Base Settings'!$A$13:$K$19,2,FALSE),""))</f>
        <v/>
      </c>
      <c r="L167" s="139" t="n"/>
      <c r="M167" s="139" t="n"/>
      <c r="N167" s="140">
        <f>IF(OR($L167="",$M167=""),"",MAX(0,$L167-$M167))</f>
        <v/>
      </c>
      <c r="O167" s="140">
        <f>IF($J167="","",IFERROR(VLOOKUP($J167,'Base Settings'!$A$13:$K$19,3,FALSE),0))</f>
        <v/>
      </c>
      <c r="P167" s="140">
        <f>IF($N167="","",$N167*$O167)</f>
        <v/>
      </c>
      <c r="Q167" s="139" t="n"/>
      <c r="R167" s="139" t="n"/>
      <c r="S167" s="139" t="n"/>
      <c r="T167" s="139" t="n"/>
      <c r="U167" s="140">
        <f>IF($J167="","",IFERROR($N167*VLOOKUP($J167,'Base Settings'!$A$13:$K$19,4,FALSE),0))</f>
        <v/>
      </c>
      <c r="V167" s="140">
        <f>IFERROR($N167/$S167,"")</f>
        <v/>
      </c>
      <c r="W167" s="140">
        <f>IFERROR($N167/$T167,"")</f>
        <v/>
      </c>
      <c r="X167" s="80" t="n"/>
      <c r="Y167" s="80" t="n"/>
    </row>
    <row r="168">
      <c r="A168" s="80" t="n"/>
      <c r="B168" s="138" t="n"/>
      <c r="C168" s="80" t="n"/>
      <c r="D168" s="80" t="n"/>
      <c r="E168" s="80" t="n"/>
      <c r="F168" s="80" t="n"/>
      <c r="G168" s="80" t="n"/>
      <c r="H168" s="80" t="n"/>
      <c r="I168" s="80" t="n"/>
      <c r="J168" s="80" t="n"/>
      <c r="K168" s="82">
        <f>IF($J168="","",IFERROR(VLOOKUP($J168,'Base Settings'!$A$13:$K$19,2,FALSE),""))</f>
        <v/>
      </c>
      <c r="L168" s="139" t="n"/>
      <c r="M168" s="139" t="n"/>
      <c r="N168" s="140">
        <f>IF(OR($L168="",$M168=""),"",MAX(0,$L168-$M168))</f>
        <v/>
      </c>
      <c r="O168" s="140">
        <f>IF($J168="","",IFERROR(VLOOKUP($J168,'Base Settings'!$A$13:$K$19,3,FALSE),0))</f>
        <v/>
      </c>
      <c r="P168" s="140">
        <f>IF($N168="","",$N168*$O168)</f>
        <v/>
      </c>
      <c r="Q168" s="139" t="n"/>
      <c r="R168" s="139" t="n"/>
      <c r="S168" s="139" t="n"/>
      <c r="T168" s="139" t="n"/>
      <c r="U168" s="140">
        <f>IF($J168="","",IFERROR($N168*VLOOKUP($J168,'Base Settings'!$A$13:$K$19,4,FALSE),0))</f>
        <v/>
      </c>
      <c r="V168" s="140">
        <f>IFERROR($N168/$S168,"")</f>
        <v/>
      </c>
      <c r="W168" s="140">
        <f>IFERROR($N168/$T168,"")</f>
        <v/>
      </c>
      <c r="X168" s="80" t="n"/>
      <c r="Y168" s="80" t="n"/>
    </row>
    <row r="169">
      <c r="A169" s="80" t="n"/>
      <c r="B169" s="138" t="n"/>
      <c r="C169" s="80" t="n"/>
      <c r="D169" s="80" t="n"/>
      <c r="E169" s="80" t="n"/>
      <c r="F169" s="80" t="n"/>
      <c r="G169" s="80" t="n"/>
      <c r="H169" s="80" t="n"/>
      <c r="I169" s="80" t="n"/>
      <c r="J169" s="80" t="n"/>
      <c r="K169" s="82">
        <f>IF($J169="","",IFERROR(VLOOKUP($J169,'Base Settings'!$A$13:$K$19,2,FALSE),""))</f>
        <v/>
      </c>
      <c r="L169" s="139" t="n"/>
      <c r="M169" s="139" t="n"/>
      <c r="N169" s="140">
        <f>IF(OR($L169="",$M169=""),"",MAX(0,$L169-$M169))</f>
        <v/>
      </c>
      <c r="O169" s="140">
        <f>IF($J169="","",IFERROR(VLOOKUP($J169,'Base Settings'!$A$13:$K$19,3,FALSE),0))</f>
        <v/>
      </c>
      <c r="P169" s="140">
        <f>IF($N169="","",$N169*$O169)</f>
        <v/>
      </c>
      <c r="Q169" s="139" t="n"/>
      <c r="R169" s="139" t="n"/>
      <c r="S169" s="139" t="n"/>
      <c r="T169" s="139" t="n"/>
      <c r="U169" s="140">
        <f>IF($J169="","",IFERROR($N169*VLOOKUP($J169,'Base Settings'!$A$13:$K$19,4,FALSE),0))</f>
        <v/>
      </c>
      <c r="V169" s="140">
        <f>IFERROR($N169/$S169,"")</f>
        <v/>
      </c>
      <c r="W169" s="140">
        <f>IFERROR($N169/$T169,"")</f>
        <v/>
      </c>
      <c r="X169" s="80" t="n"/>
      <c r="Y169" s="80" t="n"/>
    </row>
    <row r="170">
      <c r="A170" s="80" t="n"/>
      <c r="B170" s="138" t="n"/>
      <c r="C170" s="80" t="n"/>
      <c r="D170" s="80" t="n"/>
      <c r="E170" s="80" t="n"/>
      <c r="F170" s="80" t="n"/>
      <c r="G170" s="80" t="n"/>
      <c r="H170" s="80" t="n"/>
      <c r="I170" s="80" t="n"/>
      <c r="J170" s="80" t="n"/>
      <c r="K170" s="82">
        <f>IF($J170="","",IFERROR(VLOOKUP($J170,'Base Settings'!$A$13:$K$19,2,FALSE),""))</f>
        <v/>
      </c>
      <c r="L170" s="139" t="n"/>
      <c r="M170" s="139" t="n"/>
      <c r="N170" s="140">
        <f>IF(OR($L170="",$M170=""),"",MAX(0,$L170-$M170))</f>
        <v/>
      </c>
      <c r="O170" s="140">
        <f>IF($J170="","",IFERROR(VLOOKUP($J170,'Base Settings'!$A$13:$K$19,3,FALSE),0))</f>
        <v/>
      </c>
      <c r="P170" s="140">
        <f>IF($N170="","",$N170*$O170)</f>
        <v/>
      </c>
      <c r="Q170" s="139" t="n"/>
      <c r="R170" s="139" t="n"/>
      <c r="S170" s="139" t="n"/>
      <c r="T170" s="139" t="n"/>
      <c r="U170" s="140">
        <f>IF($J170="","",IFERROR($N170*VLOOKUP($J170,'Base Settings'!$A$13:$K$19,4,FALSE),0))</f>
        <v/>
      </c>
      <c r="V170" s="140">
        <f>IFERROR($N170/$S170,"")</f>
        <v/>
      </c>
      <c r="W170" s="140">
        <f>IFERROR($N170/$T170,"")</f>
        <v/>
      </c>
      <c r="X170" s="80" t="n"/>
      <c r="Y170" s="80" t="n"/>
    </row>
    <row r="171">
      <c r="A171" s="80" t="n"/>
      <c r="B171" s="138" t="n"/>
      <c r="C171" s="80" t="n"/>
      <c r="D171" s="80" t="n"/>
      <c r="E171" s="80" t="n"/>
      <c r="F171" s="80" t="n"/>
      <c r="G171" s="80" t="n"/>
      <c r="H171" s="80" t="n"/>
      <c r="I171" s="80" t="n"/>
      <c r="J171" s="80" t="n"/>
      <c r="K171" s="82">
        <f>IF($J171="","",IFERROR(VLOOKUP($J171,'Base Settings'!$A$13:$K$19,2,FALSE),""))</f>
        <v/>
      </c>
      <c r="L171" s="139" t="n"/>
      <c r="M171" s="139" t="n"/>
      <c r="N171" s="140">
        <f>IF(OR($L171="",$M171=""),"",MAX(0,$L171-$M171))</f>
        <v/>
      </c>
      <c r="O171" s="140">
        <f>IF($J171="","",IFERROR(VLOOKUP($J171,'Base Settings'!$A$13:$K$19,3,FALSE),0))</f>
        <v/>
      </c>
      <c r="P171" s="140">
        <f>IF($N171="","",$N171*$O171)</f>
        <v/>
      </c>
      <c r="Q171" s="139" t="n"/>
      <c r="R171" s="139" t="n"/>
      <c r="S171" s="139" t="n"/>
      <c r="T171" s="139" t="n"/>
      <c r="U171" s="140">
        <f>IF($J171="","",IFERROR($N171*VLOOKUP($J171,'Base Settings'!$A$13:$K$19,4,FALSE),0))</f>
        <v/>
      </c>
      <c r="V171" s="140">
        <f>IFERROR($N171/$S171,"")</f>
        <v/>
      </c>
      <c r="W171" s="140">
        <f>IFERROR($N171/$T171,"")</f>
        <v/>
      </c>
      <c r="X171" s="80" t="n"/>
      <c r="Y171" s="80" t="n"/>
    </row>
    <row r="172">
      <c r="A172" s="80" t="n"/>
      <c r="B172" s="138" t="n"/>
      <c r="C172" s="80" t="n"/>
      <c r="D172" s="80" t="n"/>
      <c r="E172" s="80" t="n"/>
      <c r="F172" s="80" t="n"/>
      <c r="G172" s="80" t="n"/>
      <c r="H172" s="80" t="n"/>
      <c r="I172" s="80" t="n"/>
      <c r="J172" s="80" t="n"/>
      <c r="K172" s="82">
        <f>IF($J172="","",IFERROR(VLOOKUP($J172,'Base Settings'!$A$13:$K$19,2,FALSE),""))</f>
        <v/>
      </c>
      <c r="L172" s="139" t="n"/>
      <c r="M172" s="139" t="n"/>
      <c r="N172" s="140">
        <f>IF(OR($L172="",$M172=""),"",MAX(0,$L172-$M172))</f>
        <v/>
      </c>
      <c r="O172" s="140">
        <f>IF($J172="","",IFERROR(VLOOKUP($J172,'Base Settings'!$A$13:$K$19,3,FALSE),0))</f>
        <v/>
      </c>
      <c r="P172" s="140">
        <f>IF($N172="","",$N172*$O172)</f>
        <v/>
      </c>
      <c r="Q172" s="139" t="n"/>
      <c r="R172" s="139" t="n"/>
      <c r="S172" s="139" t="n"/>
      <c r="T172" s="139" t="n"/>
      <c r="U172" s="140">
        <f>IF($J172="","",IFERROR($N172*VLOOKUP($J172,'Base Settings'!$A$13:$K$19,4,FALSE),0))</f>
        <v/>
      </c>
      <c r="V172" s="140">
        <f>IFERROR($N172/$S172,"")</f>
        <v/>
      </c>
      <c r="W172" s="140">
        <f>IFERROR($N172/$T172,"")</f>
        <v/>
      </c>
      <c r="X172" s="80" t="n"/>
      <c r="Y172" s="80" t="n"/>
    </row>
    <row r="173">
      <c r="A173" s="80" t="n"/>
      <c r="B173" s="138" t="n"/>
      <c r="C173" s="80" t="n"/>
      <c r="D173" s="80" t="n"/>
      <c r="E173" s="80" t="n"/>
      <c r="F173" s="80" t="n"/>
      <c r="G173" s="80" t="n"/>
      <c r="H173" s="80" t="n"/>
      <c r="I173" s="80" t="n"/>
      <c r="J173" s="80" t="n"/>
      <c r="K173" s="82">
        <f>IF($J173="","",IFERROR(VLOOKUP($J173,'Base Settings'!$A$13:$K$19,2,FALSE),""))</f>
        <v/>
      </c>
      <c r="L173" s="139" t="n"/>
      <c r="M173" s="139" t="n"/>
      <c r="N173" s="140">
        <f>IF(OR($L173="",$M173=""),"",MAX(0,$L173-$M173))</f>
        <v/>
      </c>
      <c r="O173" s="140">
        <f>IF($J173="","",IFERROR(VLOOKUP($J173,'Base Settings'!$A$13:$K$19,3,FALSE),0))</f>
        <v/>
      </c>
      <c r="P173" s="140">
        <f>IF($N173="","",$N173*$O173)</f>
        <v/>
      </c>
      <c r="Q173" s="139" t="n"/>
      <c r="R173" s="139" t="n"/>
      <c r="S173" s="139" t="n"/>
      <c r="T173" s="139" t="n"/>
      <c r="U173" s="140">
        <f>IF($J173="","",IFERROR($N173*VLOOKUP($J173,'Base Settings'!$A$13:$K$19,4,FALSE),0))</f>
        <v/>
      </c>
      <c r="V173" s="140">
        <f>IFERROR($N173/$S173,"")</f>
        <v/>
      </c>
      <c r="W173" s="140">
        <f>IFERROR($N173/$T173,"")</f>
        <v/>
      </c>
      <c r="X173" s="80" t="n"/>
      <c r="Y173" s="80" t="n"/>
    </row>
    <row r="174">
      <c r="A174" s="80" t="n"/>
      <c r="B174" s="138" t="n"/>
      <c r="C174" s="80" t="n"/>
      <c r="D174" s="80" t="n"/>
      <c r="E174" s="80" t="n"/>
      <c r="F174" s="80" t="n"/>
      <c r="G174" s="80" t="n"/>
      <c r="H174" s="80" t="n"/>
      <c r="I174" s="80" t="n"/>
      <c r="J174" s="80" t="n"/>
      <c r="K174" s="82">
        <f>IF($J174="","",IFERROR(VLOOKUP($J174,'Base Settings'!$A$13:$K$19,2,FALSE),""))</f>
        <v/>
      </c>
      <c r="L174" s="139" t="n"/>
      <c r="M174" s="139" t="n"/>
      <c r="N174" s="140">
        <f>IF(OR($L174="",$M174=""),"",MAX(0,$L174-$M174))</f>
        <v/>
      </c>
      <c r="O174" s="140">
        <f>IF($J174="","",IFERROR(VLOOKUP($J174,'Base Settings'!$A$13:$K$19,3,FALSE),0))</f>
        <v/>
      </c>
      <c r="P174" s="140">
        <f>IF($N174="","",$N174*$O174)</f>
        <v/>
      </c>
      <c r="Q174" s="139" t="n"/>
      <c r="R174" s="139" t="n"/>
      <c r="S174" s="139" t="n"/>
      <c r="T174" s="139" t="n"/>
      <c r="U174" s="140">
        <f>IF($J174="","",IFERROR($N174*VLOOKUP($J174,'Base Settings'!$A$13:$K$19,4,FALSE),0))</f>
        <v/>
      </c>
      <c r="V174" s="140">
        <f>IFERROR($N174/$S174,"")</f>
        <v/>
      </c>
      <c r="W174" s="140">
        <f>IFERROR($N174/$T174,"")</f>
        <v/>
      </c>
      <c r="X174" s="80" t="n"/>
      <c r="Y174" s="80" t="n"/>
    </row>
    <row r="175">
      <c r="A175" s="80" t="n"/>
      <c r="B175" s="138" t="n"/>
      <c r="C175" s="80" t="n"/>
      <c r="D175" s="80" t="n"/>
      <c r="E175" s="80" t="n"/>
      <c r="F175" s="80" t="n"/>
      <c r="G175" s="80" t="n"/>
      <c r="H175" s="80" t="n"/>
      <c r="I175" s="80" t="n"/>
      <c r="J175" s="80" t="n"/>
      <c r="K175" s="82">
        <f>IF($J175="","",IFERROR(VLOOKUP($J175,'Base Settings'!$A$13:$K$19,2,FALSE),""))</f>
        <v/>
      </c>
      <c r="L175" s="139" t="n"/>
      <c r="M175" s="139" t="n"/>
      <c r="N175" s="140">
        <f>IF(OR($L175="",$M175=""),"",MAX(0,$L175-$M175))</f>
        <v/>
      </c>
      <c r="O175" s="140">
        <f>IF($J175="","",IFERROR(VLOOKUP($J175,'Base Settings'!$A$13:$K$19,3,FALSE),0))</f>
        <v/>
      </c>
      <c r="P175" s="140">
        <f>IF($N175="","",$N175*$O175)</f>
        <v/>
      </c>
      <c r="Q175" s="139" t="n"/>
      <c r="R175" s="139" t="n"/>
      <c r="S175" s="139" t="n"/>
      <c r="T175" s="139" t="n"/>
      <c r="U175" s="140">
        <f>IF($J175="","",IFERROR($N175*VLOOKUP($J175,'Base Settings'!$A$13:$K$19,4,FALSE),0))</f>
        <v/>
      </c>
      <c r="V175" s="140">
        <f>IFERROR($N175/$S175,"")</f>
        <v/>
      </c>
      <c r="W175" s="140">
        <f>IFERROR($N175/$T175,"")</f>
        <v/>
      </c>
      <c r="X175" s="80" t="n"/>
      <c r="Y175" s="80" t="n"/>
    </row>
    <row r="176">
      <c r="A176" s="80" t="n"/>
      <c r="B176" s="138" t="n"/>
      <c r="C176" s="80" t="n"/>
      <c r="D176" s="80" t="n"/>
      <c r="E176" s="80" t="n"/>
      <c r="F176" s="80" t="n"/>
      <c r="G176" s="80" t="n"/>
      <c r="H176" s="80" t="n"/>
      <c r="I176" s="80" t="n"/>
      <c r="J176" s="80" t="n"/>
      <c r="K176" s="82">
        <f>IF($J176="","",IFERROR(VLOOKUP($J176,'Base Settings'!$A$13:$K$19,2,FALSE),""))</f>
        <v/>
      </c>
      <c r="L176" s="139" t="n"/>
      <c r="M176" s="139" t="n"/>
      <c r="N176" s="140">
        <f>IF(OR($L176="",$M176=""),"",MAX(0,$L176-$M176))</f>
        <v/>
      </c>
      <c r="O176" s="140">
        <f>IF($J176="","",IFERROR(VLOOKUP($J176,'Base Settings'!$A$13:$K$19,3,FALSE),0))</f>
        <v/>
      </c>
      <c r="P176" s="140">
        <f>IF($N176="","",$N176*$O176)</f>
        <v/>
      </c>
      <c r="Q176" s="139" t="n"/>
      <c r="R176" s="139" t="n"/>
      <c r="S176" s="139" t="n"/>
      <c r="T176" s="139" t="n"/>
      <c r="U176" s="140">
        <f>IF($J176="","",IFERROR($N176*VLOOKUP($J176,'Base Settings'!$A$13:$K$19,4,FALSE),0))</f>
        <v/>
      </c>
      <c r="V176" s="140">
        <f>IFERROR($N176/$S176,"")</f>
        <v/>
      </c>
      <c r="W176" s="140">
        <f>IFERROR($N176/$T176,"")</f>
        <v/>
      </c>
      <c r="X176" s="80" t="n"/>
      <c r="Y176" s="80" t="n"/>
    </row>
    <row r="177">
      <c r="A177" s="80" t="n"/>
      <c r="B177" s="138" t="n"/>
      <c r="C177" s="80" t="n"/>
      <c r="D177" s="80" t="n"/>
      <c r="E177" s="80" t="n"/>
      <c r="F177" s="80" t="n"/>
      <c r="G177" s="80" t="n"/>
      <c r="H177" s="80" t="n"/>
      <c r="I177" s="80" t="n"/>
      <c r="J177" s="80" t="n"/>
      <c r="K177" s="82">
        <f>IF($J177="","",IFERROR(VLOOKUP($J177,'Base Settings'!$A$13:$K$19,2,FALSE),""))</f>
        <v/>
      </c>
      <c r="L177" s="139" t="n"/>
      <c r="M177" s="139" t="n"/>
      <c r="N177" s="140">
        <f>IF(OR($L177="",$M177=""),"",MAX(0,$L177-$M177))</f>
        <v/>
      </c>
      <c r="O177" s="140">
        <f>IF($J177="","",IFERROR(VLOOKUP($J177,'Base Settings'!$A$13:$K$19,3,FALSE),0))</f>
        <v/>
      </c>
      <c r="P177" s="140">
        <f>IF($N177="","",$N177*$O177)</f>
        <v/>
      </c>
      <c r="Q177" s="139" t="n"/>
      <c r="R177" s="139" t="n"/>
      <c r="S177" s="139" t="n"/>
      <c r="T177" s="139" t="n"/>
      <c r="U177" s="140">
        <f>IF($J177="","",IFERROR($N177*VLOOKUP($J177,'Base Settings'!$A$13:$K$19,4,FALSE),0))</f>
        <v/>
      </c>
      <c r="V177" s="140">
        <f>IFERROR($N177/$S177,"")</f>
        <v/>
      </c>
      <c r="W177" s="140">
        <f>IFERROR($N177/$T177,"")</f>
        <v/>
      </c>
      <c r="X177" s="80" t="n"/>
      <c r="Y177" s="80" t="n"/>
    </row>
    <row r="178">
      <c r="A178" s="80" t="n"/>
      <c r="B178" s="138" t="n"/>
      <c r="C178" s="80" t="n"/>
      <c r="D178" s="80" t="n"/>
      <c r="E178" s="80" t="n"/>
      <c r="F178" s="80" t="n"/>
      <c r="G178" s="80" t="n"/>
      <c r="H178" s="80" t="n"/>
      <c r="I178" s="80" t="n"/>
      <c r="J178" s="80" t="n"/>
      <c r="K178" s="82">
        <f>IF($J178="","",IFERROR(VLOOKUP($J178,'Base Settings'!$A$13:$K$19,2,FALSE),""))</f>
        <v/>
      </c>
      <c r="L178" s="139" t="n"/>
      <c r="M178" s="139" t="n"/>
      <c r="N178" s="140">
        <f>IF(OR($L178="",$M178=""),"",MAX(0,$L178-$M178))</f>
        <v/>
      </c>
      <c r="O178" s="140">
        <f>IF($J178="","",IFERROR(VLOOKUP($J178,'Base Settings'!$A$13:$K$19,3,FALSE),0))</f>
        <v/>
      </c>
      <c r="P178" s="140">
        <f>IF($N178="","",$N178*$O178)</f>
        <v/>
      </c>
      <c r="Q178" s="139" t="n"/>
      <c r="R178" s="139" t="n"/>
      <c r="S178" s="139" t="n"/>
      <c r="T178" s="139" t="n"/>
      <c r="U178" s="140">
        <f>IF($J178="","",IFERROR($N178*VLOOKUP($J178,'Base Settings'!$A$13:$K$19,4,FALSE),0))</f>
        <v/>
      </c>
      <c r="V178" s="140">
        <f>IFERROR($N178/$S178,"")</f>
        <v/>
      </c>
      <c r="W178" s="140">
        <f>IFERROR($N178/$T178,"")</f>
        <v/>
      </c>
      <c r="X178" s="80" t="n"/>
      <c r="Y178" s="80" t="n"/>
    </row>
    <row r="179">
      <c r="A179" s="80" t="n"/>
      <c r="B179" s="138" t="n"/>
      <c r="C179" s="80" t="n"/>
      <c r="D179" s="80" t="n"/>
      <c r="E179" s="80" t="n"/>
      <c r="F179" s="80" t="n"/>
      <c r="G179" s="80" t="n"/>
      <c r="H179" s="80" t="n"/>
      <c r="I179" s="80" t="n"/>
      <c r="J179" s="80" t="n"/>
      <c r="K179" s="82">
        <f>IF($J179="","",IFERROR(VLOOKUP($J179,'Base Settings'!$A$13:$K$19,2,FALSE),""))</f>
        <v/>
      </c>
      <c r="L179" s="139" t="n"/>
      <c r="M179" s="139" t="n"/>
      <c r="N179" s="140">
        <f>IF(OR($L179="",$M179=""),"",MAX(0,$L179-$M179))</f>
        <v/>
      </c>
      <c r="O179" s="140">
        <f>IF($J179="","",IFERROR(VLOOKUP($J179,'Base Settings'!$A$13:$K$19,3,FALSE),0))</f>
        <v/>
      </c>
      <c r="P179" s="140">
        <f>IF($N179="","",$N179*$O179)</f>
        <v/>
      </c>
      <c r="Q179" s="139" t="n"/>
      <c r="R179" s="139" t="n"/>
      <c r="S179" s="139" t="n"/>
      <c r="T179" s="139" t="n"/>
      <c r="U179" s="140">
        <f>IF($J179="","",IFERROR($N179*VLOOKUP($J179,'Base Settings'!$A$13:$K$19,4,FALSE),0))</f>
        <v/>
      </c>
      <c r="V179" s="140">
        <f>IFERROR($N179/$S179,"")</f>
        <v/>
      </c>
      <c r="W179" s="140">
        <f>IFERROR($N179/$T179,"")</f>
        <v/>
      </c>
      <c r="X179" s="80" t="n"/>
      <c r="Y179" s="80" t="n"/>
    </row>
    <row r="180">
      <c r="A180" s="80" t="n"/>
      <c r="B180" s="138" t="n"/>
      <c r="C180" s="80" t="n"/>
      <c r="D180" s="80" t="n"/>
      <c r="E180" s="80" t="n"/>
      <c r="F180" s="80" t="n"/>
      <c r="G180" s="80" t="n"/>
      <c r="H180" s="80" t="n"/>
      <c r="I180" s="80" t="n"/>
      <c r="J180" s="80" t="n"/>
      <c r="K180" s="82">
        <f>IF($J180="","",IFERROR(VLOOKUP($J180,'Base Settings'!$A$13:$K$19,2,FALSE),""))</f>
        <v/>
      </c>
      <c r="L180" s="139" t="n"/>
      <c r="M180" s="139" t="n"/>
      <c r="N180" s="140">
        <f>IF(OR($L180="",$M180=""),"",MAX(0,$L180-$M180))</f>
        <v/>
      </c>
      <c r="O180" s="140">
        <f>IF($J180="","",IFERROR(VLOOKUP($J180,'Base Settings'!$A$13:$K$19,3,FALSE),0))</f>
        <v/>
      </c>
      <c r="P180" s="140">
        <f>IF($N180="","",$N180*$O180)</f>
        <v/>
      </c>
      <c r="Q180" s="139" t="n"/>
      <c r="R180" s="139" t="n"/>
      <c r="S180" s="139" t="n"/>
      <c r="T180" s="139" t="n"/>
      <c r="U180" s="140">
        <f>IF($J180="","",IFERROR($N180*VLOOKUP($J180,'Base Settings'!$A$13:$K$19,4,FALSE),0))</f>
        <v/>
      </c>
      <c r="V180" s="140">
        <f>IFERROR($N180/$S180,"")</f>
        <v/>
      </c>
      <c r="W180" s="140">
        <f>IFERROR($N180/$T180,"")</f>
        <v/>
      </c>
      <c r="X180" s="80" t="n"/>
      <c r="Y180" s="80" t="n"/>
    </row>
    <row r="181">
      <c r="A181" s="80" t="n"/>
      <c r="B181" s="138" t="n"/>
      <c r="C181" s="80" t="n"/>
      <c r="D181" s="80" t="n"/>
      <c r="E181" s="80" t="n"/>
      <c r="F181" s="80" t="n"/>
      <c r="G181" s="80" t="n"/>
      <c r="H181" s="80" t="n"/>
      <c r="I181" s="80" t="n"/>
      <c r="J181" s="80" t="n"/>
      <c r="K181" s="82">
        <f>IF($J181="","",IFERROR(VLOOKUP($J181,'Base Settings'!$A$13:$K$19,2,FALSE),""))</f>
        <v/>
      </c>
      <c r="L181" s="139" t="n"/>
      <c r="M181" s="139" t="n"/>
      <c r="N181" s="140">
        <f>IF(OR($L181="",$M181=""),"",MAX(0,$L181-$M181))</f>
        <v/>
      </c>
      <c r="O181" s="140">
        <f>IF($J181="","",IFERROR(VLOOKUP($J181,'Base Settings'!$A$13:$K$19,3,FALSE),0))</f>
        <v/>
      </c>
      <c r="P181" s="140">
        <f>IF($N181="","",$N181*$O181)</f>
        <v/>
      </c>
      <c r="Q181" s="139" t="n"/>
      <c r="R181" s="139" t="n"/>
      <c r="S181" s="139" t="n"/>
      <c r="T181" s="139" t="n"/>
      <c r="U181" s="140">
        <f>IF($J181="","",IFERROR($N181*VLOOKUP($J181,'Base Settings'!$A$13:$K$19,4,FALSE),0))</f>
        <v/>
      </c>
      <c r="V181" s="140">
        <f>IFERROR($N181/$S181,"")</f>
        <v/>
      </c>
      <c r="W181" s="140">
        <f>IFERROR($N181/$T181,"")</f>
        <v/>
      </c>
      <c r="X181" s="80" t="n"/>
      <c r="Y181" s="80" t="n"/>
    </row>
    <row r="182">
      <c r="A182" s="80" t="n"/>
      <c r="B182" s="138" t="n"/>
      <c r="C182" s="80" t="n"/>
      <c r="D182" s="80" t="n"/>
      <c r="E182" s="80" t="n"/>
      <c r="F182" s="80" t="n"/>
      <c r="G182" s="80" t="n"/>
      <c r="H182" s="80" t="n"/>
      <c r="I182" s="80" t="n"/>
      <c r="J182" s="80" t="n"/>
      <c r="K182" s="82">
        <f>IF($J182="","",IFERROR(VLOOKUP($J182,'Base Settings'!$A$13:$K$19,2,FALSE),""))</f>
        <v/>
      </c>
      <c r="L182" s="139" t="n"/>
      <c r="M182" s="139" t="n"/>
      <c r="N182" s="140">
        <f>IF(OR($L182="",$M182=""),"",MAX(0,$L182-$M182))</f>
        <v/>
      </c>
      <c r="O182" s="140">
        <f>IF($J182="","",IFERROR(VLOOKUP($J182,'Base Settings'!$A$13:$K$19,3,FALSE),0))</f>
        <v/>
      </c>
      <c r="P182" s="140">
        <f>IF($N182="","",$N182*$O182)</f>
        <v/>
      </c>
      <c r="Q182" s="139" t="n"/>
      <c r="R182" s="139" t="n"/>
      <c r="S182" s="139" t="n"/>
      <c r="T182" s="139" t="n"/>
      <c r="U182" s="140">
        <f>IF($J182="","",IFERROR($N182*VLOOKUP($J182,'Base Settings'!$A$13:$K$19,4,FALSE),0))</f>
        <v/>
      </c>
      <c r="V182" s="140">
        <f>IFERROR($N182/$S182,"")</f>
        <v/>
      </c>
      <c r="W182" s="140">
        <f>IFERROR($N182/$T182,"")</f>
        <v/>
      </c>
      <c r="X182" s="80" t="n"/>
      <c r="Y182" s="80" t="n"/>
    </row>
    <row r="183">
      <c r="A183" s="80" t="n"/>
      <c r="B183" s="138" t="n"/>
      <c r="C183" s="80" t="n"/>
      <c r="D183" s="80" t="n"/>
      <c r="E183" s="80" t="n"/>
      <c r="F183" s="80" t="n"/>
      <c r="G183" s="80" t="n"/>
      <c r="H183" s="80" t="n"/>
      <c r="I183" s="80" t="n"/>
      <c r="J183" s="80" t="n"/>
      <c r="K183" s="82">
        <f>IF($J183="","",IFERROR(VLOOKUP($J183,'Base Settings'!$A$13:$K$19,2,FALSE),""))</f>
        <v/>
      </c>
      <c r="L183" s="139" t="n"/>
      <c r="M183" s="139" t="n"/>
      <c r="N183" s="140">
        <f>IF(OR($L183="",$M183=""),"",MAX(0,$L183-$M183))</f>
        <v/>
      </c>
      <c r="O183" s="140">
        <f>IF($J183="","",IFERROR(VLOOKUP($J183,'Base Settings'!$A$13:$K$19,3,FALSE),0))</f>
        <v/>
      </c>
      <c r="P183" s="140">
        <f>IF($N183="","",$N183*$O183)</f>
        <v/>
      </c>
      <c r="Q183" s="139" t="n"/>
      <c r="R183" s="139" t="n"/>
      <c r="S183" s="139" t="n"/>
      <c r="T183" s="139" t="n"/>
      <c r="U183" s="140">
        <f>IF($J183="","",IFERROR($N183*VLOOKUP($J183,'Base Settings'!$A$13:$K$19,4,FALSE),0))</f>
        <v/>
      </c>
      <c r="V183" s="140">
        <f>IFERROR($N183/$S183,"")</f>
        <v/>
      </c>
      <c r="W183" s="140">
        <f>IFERROR($N183/$T183,"")</f>
        <v/>
      </c>
      <c r="X183" s="80" t="n"/>
      <c r="Y183" s="80" t="n"/>
    </row>
    <row r="184">
      <c r="A184" s="80" t="n"/>
      <c r="B184" s="138" t="n"/>
      <c r="C184" s="80" t="n"/>
      <c r="D184" s="80" t="n"/>
      <c r="E184" s="80" t="n"/>
      <c r="F184" s="80" t="n"/>
      <c r="G184" s="80" t="n"/>
      <c r="H184" s="80" t="n"/>
      <c r="I184" s="80" t="n"/>
      <c r="J184" s="80" t="n"/>
      <c r="K184" s="82">
        <f>IF($J184="","",IFERROR(VLOOKUP($J184,'Base Settings'!$A$13:$K$19,2,FALSE),""))</f>
        <v/>
      </c>
      <c r="L184" s="139" t="n"/>
      <c r="M184" s="139" t="n"/>
      <c r="N184" s="140">
        <f>IF(OR($L184="",$M184=""),"",MAX(0,$L184-$M184))</f>
        <v/>
      </c>
      <c r="O184" s="140">
        <f>IF($J184="","",IFERROR(VLOOKUP($J184,'Base Settings'!$A$13:$K$19,3,FALSE),0))</f>
        <v/>
      </c>
      <c r="P184" s="140">
        <f>IF($N184="","",$N184*$O184)</f>
        <v/>
      </c>
      <c r="Q184" s="139" t="n"/>
      <c r="R184" s="139" t="n"/>
      <c r="S184" s="139" t="n"/>
      <c r="T184" s="139" t="n"/>
      <c r="U184" s="140">
        <f>IF($J184="","",IFERROR($N184*VLOOKUP($J184,'Base Settings'!$A$13:$K$19,4,FALSE),0))</f>
        <v/>
      </c>
      <c r="V184" s="140">
        <f>IFERROR($N184/$S184,"")</f>
        <v/>
      </c>
      <c r="W184" s="140">
        <f>IFERROR($N184/$T184,"")</f>
        <v/>
      </c>
      <c r="X184" s="80" t="n"/>
      <c r="Y184" s="80" t="n"/>
    </row>
    <row r="185">
      <c r="A185" s="80" t="n"/>
      <c r="B185" s="138" t="n"/>
      <c r="C185" s="80" t="n"/>
      <c r="D185" s="80" t="n"/>
      <c r="E185" s="80" t="n"/>
      <c r="F185" s="80" t="n"/>
      <c r="G185" s="80" t="n"/>
      <c r="H185" s="80" t="n"/>
      <c r="I185" s="80" t="n"/>
      <c r="J185" s="80" t="n"/>
      <c r="K185" s="82">
        <f>IF($J185="","",IFERROR(VLOOKUP($J185,'Base Settings'!$A$13:$K$19,2,FALSE),""))</f>
        <v/>
      </c>
      <c r="L185" s="139" t="n"/>
      <c r="M185" s="139" t="n"/>
      <c r="N185" s="140">
        <f>IF(OR($L185="",$M185=""),"",MAX(0,$L185-$M185))</f>
        <v/>
      </c>
      <c r="O185" s="140">
        <f>IF($J185="","",IFERROR(VLOOKUP($J185,'Base Settings'!$A$13:$K$19,3,FALSE),0))</f>
        <v/>
      </c>
      <c r="P185" s="140">
        <f>IF($N185="","",$N185*$O185)</f>
        <v/>
      </c>
      <c r="Q185" s="139" t="n"/>
      <c r="R185" s="139" t="n"/>
      <c r="S185" s="139" t="n"/>
      <c r="T185" s="139" t="n"/>
      <c r="U185" s="140">
        <f>IF($J185="","",IFERROR($N185*VLOOKUP($J185,'Base Settings'!$A$13:$K$19,4,FALSE),0))</f>
        <v/>
      </c>
      <c r="V185" s="140">
        <f>IFERROR($N185/$S185,"")</f>
        <v/>
      </c>
      <c r="W185" s="140">
        <f>IFERROR($N185/$T185,"")</f>
        <v/>
      </c>
      <c r="X185" s="80" t="n"/>
      <c r="Y185" s="80" t="n"/>
    </row>
    <row r="186">
      <c r="A186" s="80" t="n"/>
      <c r="B186" s="138" t="n"/>
      <c r="C186" s="80" t="n"/>
      <c r="D186" s="80" t="n"/>
      <c r="E186" s="80" t="n"/>
      <c r="F186" s="80" t="n"/>
      <c r="G186" s="80" t="n"/>
      <c r="H186" s="80" t="n"/>
      <c r="I186" s="80" t="n"/>
      <c r="J186" s="80" t="n"/>
      <c r="K186" s="82">
        <f>IF($J186="","",IFERROR(VLOOKUP($J186,'Base Settings'!$A$13:$K$19,2,FALSE),""))</f>
        <v/>
      </c>
      <c r="L186" s="139" t="n"/>
      <c r="M186" s="139" t="n"/>
      <c r="N186" s="140">
        <f>IF(OR($L186="",$M186=""),"",MAX(0,$L186-$M186))</f>
        <v/>
      </c>
      <c r="O186" s="140">
        <f>IF($J186="","",IFERROR(VLOOKUP($J186,'Base Settings'!$A$13:$K$19,3,FALSE),0))</f>
        <v/>
      </c>
      <c r="P186" s="140">
        <f>IF($N186="","",$N186*$O186)</f>
        <v/>
      </c>
      <c r="Q186" s="139" t="n"/>
      <c r="R186" s="139" t="n"/>
      <c r="S186" s="139" t="n"/>
      <c r="T186" s="139" t="n"/>
      <c r="U186" s="140">
        <f>IF($J186="","",IFERROR($N186*VLOOKUP($J186,'Base Settings'!$A$13:$K$19,4,FALSE),0))</f>
        <v/>
      </c>
      <c r="V186" s="140">
        <f>IFERROR($N186/$S186,"")</f>
        <v/>
      </c>
      <c r="W186" s="140">
        <f>IFERROR($N186/$T186,"")</f>
        <v/>
      </c>
      <c r="X186" s="80" t="n"/>
      <c r="Y186" s="80" t="n"/>
    </row>
    <row r="187">
      <c r="A187" s="80" t="n"/>
      <c r="B187" s="138" t="n"/>
      <c r="C187" s="80" t="n"/>
      <c r="D187" s="80" t="n"/>
      <c r="E187" s="80" t="n"/>
      <c r="F187" s="80" t="n"/>
      <c r="G187" s="80" t="n"/>
      <c r="H187" s="80" t="n"/>
      <c r="I187" s="80" t="n"/>
      <c r="J187" s="80" t="n"/>
      <c r="K187" s="82">
        <f>IF($J187="","",IFERROR(VLOOKUP($J187,'Base Settings'!$A$13:$K$19,2,FALSE),""))</f>
        <v/>
      </c>
      <c r="L187" s="139" t="n"/>
      <c r="M187" s="139" t="n"/>
      <c r="N187" s="140">
        <f>IF(OR($L187="",$M187=""),"",MAX(0,$L187-$M187))</f>
        <v/>
      </c>
      <c r="O187" s="140">
        <f>IF($J187="","",IFERROR(VLOOKUP($J187,'Base Settings'!$A$13:$K$19,3,FALSE),0))</f>
        <v/>
      </c>
      <c r="P187" s="140">
        <f>IF($N187="","",$N187*$O187)</f>
        <v/>
      </c>
      <c r="Q187" s="139" t="n"/>
      <c r="R187" s="139" t="n"/>
      <c r="S187" s="139" t="n"/>
      <c r="T187" s="139" t="n"/>
      <c r="U187" s="140">
        <f>IF($J187="","",IFERROR($N187*VLOOKUP($J187,'Base Settings'!$A$13:$K$19,4,FALSE),0))</f>
        <v/>
      </c>
      <c r="V187" s="140">
        <f>IFERROR($N187/$S187,"")</f>
        <v/>
      </c>
      <c r="W187" s="140">
        <f>IFERROR($N187/$T187,"")</f>
        <v/>
      </c>
      <c r="X187" s="80" t="n"/>
      <c r="Y187" s="80" t="n"/>
    </row>
    <row r="188">
      <c r="A188" s="80" t="n"/>
      <c r="B188" s="138" t="n"/>
      <c r="C188" s="80" t="n"/>
      <c r="D188" s="80" t="n"/>
      <c r="E188" s="80" t="n"/>
      <c r="F188" s="80" t="n"/>
      <c r="G188" s="80" t="n"/>
      <c r="H188" s="80" t="n"/>
      <c r="I188" s="80" t="n"/>
      <c r="J188" s="80" t="n"/>
      <c r="K188" s="82">
        <f>IF($J188="","",IFERROR(VLOOKUP($J188,'Base Settings'!$A$13:$K$19,2,FALSE),""))</f>
        <v/>
      </c>
      <c r="L188" s="139" t="n"/>
      <c r="M188" s="139" t="n"/>
      <c r="N188" s="140">
        <f>IF(OR($L188="",$M188=""),"",MAX(0,$L188-$M188))</f>
        <v/>
      </c>
      <c r="O188" s="140">
        <f>IF($J188="","",IFERROR(VLOOKUP($J188,'Base Settings'!$A$13:$K$19,3,FALSE),0))</f>
        <v/>
      </c>
      <c r="P188" s="140">
        <f>IF($N188="","",$N188*$O188)</f>
        <v/>
      </c>
      <c r="Q188" s="139" t="n"/>
      <c r="R188" s="139" t="n"/>
      <c r="S188" s="139" t="n"/>
      <c r="T188" s="139" t="n"/>
      <c r="U188" s="140">
        <f>IF($J188="","",IFERROR($N188*VLOOKUP($J188,'Base Settings'!$A$13:$K$19,4,FALSE),0))</f>
        <v/>
      </c>
      <c r="V188" s="140">
        <f>IFERROR($N188/$S188,"")</f>
        <v/>
      </c>
      <c r="W188" s="140">
        <f>IFERROR($N188/$T188,"")</f>
        <v/>
      </c>
      <c r="X188" s="80" t="n"/>
      <c r="Y188" s="80" t="n"/>
    </row>
    <row r="189">
      <c r="A189" s="80" t="n"/>
      <c r="B189" s="138" t="n"/>
      <c r="C189" s="80" t="n"/>
      <c r="D189" s="80" t="n"/>
      <c r="E189" s="80" t="n"/>
      <c r="F189" s="80" t="n"/>
      <c r="G189" s="80" t="n"/>
      <c r="H189" s="80" t="n"/>
      <c r="I189" s="80" t="n"/>
      <c r="J189" s="80" t="n"/>
      <c r="K189" s="82">
        <f>IF($J189="","",IFERROR(VLOOKUP($J189,'Base Settings'!$A$13:$K$19,2,FALSE),""))</f>
        <v/>
      </c>
      <c r="L189" s="139" t="n"/>
      <c r="M189" s="139" t="n"/>
      <c r="N189" s="140">
        <f>IF(OR($L189="",$M189=""),"",MAX(0,$L189-$M189))</f>
        <v/>
      </c>
      <c r="O189" s="140">
        <f>IF($J189="","",IFERROR(VLOOKUP($J189,'Base Settings'!$A$13:$K$19,3,FALSE),0))</f>
        <v/>
      </c>
      <c r="P189" s="140">
        <f>IF($N189="","",$N189*$O189)</f>
        <v/>
      </c>
      <c r="Q189" s="139" t="n"/>
      <c r="R189" s="139" t="n"/>
      <c r="S189" s="139" t="n"/>
      <c r="T189" s="139" t="n"/>
      <c r="U189" s="140">
        <f>IF($J189="","",IFERROR($N189*VLOOKUP($J189,'Base Settings'!$A$13:$K$19,4,FALSE),0))</f>
        <v/>
      </c>
      <c r="V189" s="140">
        <f>IFERROR($N189/$S189,"")</f>
        <v/>
      </c>
      <c r="W189" s="140">
        <f>IFERROR($N189/$T189,"")</f>
        <v/>
      </c>
      <c r="X189" s="80" t="n"/>
      <c r="Y189" s="80" t="n"/>
    </row>
    <row r="190">
      <c r="A190" s="80" t="n"/>
      <c r="B190" s="138" t="n"/>
      <c r="C190" s="80" t="n"/>
      <c r="D190" s="80" t="n"/>
      <c r="E190" s="80" t="n"/>
      <c r="F190" s="80" t="n"/>
      <c r="G190" s="80" t="n"/>
      <c r="H190" s="80" t="n"/>
      <c r="I190" s="80" t="n"/>
      <c r="J190" s="80" t="n"/>
      <c r="K190" s="82">
        <f>IF($J190="","",IFERROR(VLOOKUP($J190,'Base Settings'!$A$13:$K$19,2,FALSE),""))</f>
        <v/>
      </c>
      <c r="L190" s="139" t="n"/>
      <c r="M190" s="139" t="n"/>
      <c r="N190" s="140">
        <f>IF(OR($L190="",$M190=""),"",MAX(0,$L190-$M190))</f>
        <v/>
      </c>
      <c r="O190" s="140">
        <f>IF($J190="","",IFERROR(VLOOKUP($J190,'Base Settings'!$A$13:$K$19,3,FALSE),0))</f>
        <v/>
      </c>
      <c r="P190" s="140">
        <f>IF($N190="","",$N190*$O190)</f>
        <v/>
      </c>
      <c r="Q190" s="139" t="n"/>
      <c r="R190" s="139" t="n"/>
      <c r="S190" s="139" t="n"/>
      <c r="T190" s="139" t="n"/>
      <c r="U190" s="140">
        <f>IF($J190="","",IFERROR($N190*VLOOKUP($J190,'Base Settings'!$A$13:$K$19,4,FALSE),0))</f>
        <v/>
      </c>
      <c r="V190" s="140">
        <f>IFERROR($N190/$S190,"")</f>
        <v/>
      </c>
      <c r="W190" s="140">
        <f>IFERROR($N190/$T190,"")</f>
        <v/>
      </c>
      <c r="X190" s="80" t="n"/>
      <c r="Y190" s="80" t="n"/>
    </row>
    <row r="191">
      <c r="A191" s="80" t="n"/>
      <c r="B191" s="138" t="n"/>
      <c r="C191" s="80" t="n"/>
      <c r="D191" s="80" t="n"/>
      <c r="E191" s="80" t="n"/>
      <c r="F191" s="80" t="n"/>
      <c r="G191" s="80" t="n"/>
      <c r="H191" s="80" t="n"/>
      <c r="I191" s="80" t="n"/>
      <c r="J191" s="80" t="n"/>
      <c r="K191" s="82">
        <f>IF($J191="","",IFERROR(VLOOKUP($J191,'Base Settings'!$A$13:$K$19,2,FALSE),""))</f>
        <v/>
      </c>
      <c r="L191" s="139" t="n"/>
      <c r="M191" s="139" t="n"/>
      <c r="N191" s="140">
        <f>IF(OR($L191="",$M191=""),"",MAX(0,$L191-$M191))</f>
        <v/>
      </c>
      <c r="O191" s="140">
        <f>IF($J191="","",IFERROR(VLOOKUP($J191,'Base Settings'!$A$13:$K$19,3,FALSE),0))</f>
        <v/>
      </c>
      <c r="P191" s="140">
        <f>IF($N191="","",$N191*$O191)</f>
        <v/>
      </c>
      <c r="Q191" s="139" t="n"/>
      <c r="R191" s="139" t="n"/>
      <c r="S191" s="139" t="n"/>
      <c r="T191" s="139" t="n"/>
      <c r="U191" s="140">
        <f>IF($J191="","",IFERROR($N191*VLOOKUP($J191,'Base Settings'!$A$13:$K$19,4,FALSE),0))</f>
        <v/>
      </c>
      <c r="V191" s="140">
        <f>IFERROR($N191/$S191,"")</f>
        <v/>
      </c>
      <c r="W191" s="140">
        <f>IFERROR($N191/$T191,"")</f>
        <v/>
      </c>
      <c r="X191" s="80" t="n"/>
      <c r="Y191" s="80" t="n"/>
    </row>
    <row r="192">
      <c r="A192" s="80" t="n"/>
      <c r="B192" s="138" t="n"/>
      <c r="C192" s="80" t="n"/>
      <c r="D192" s="80" t="n"/>
      <c r="E192" s="80" t="n"/>
      <c r="F192" s="80" t="n"/>
      <c r="G192" s="80" t="n"/>
      <c r="H192" s="80" t="n"/>
      <c r="I192" s="80" t="n"/>
      <c r="J192" s="80" t="n"/>
      <c r="K192" s="82">
        <f>IF($J192="","",IFERROR(VLOOKUP($J192,'Base Settings'!$A$13:$K$19,2,FALSE),""))</f>
        <v/>
      </c>
      <c r="L192" s="139" t="n"/>
      <c r="M192" s="139" t="n"/>
      <c r="N192" s="140">
        <f>IF(OR($L192="",$M192=""),"",MAX(0,$L192-$M192))</f>
        <v/>
      </c>
      <c r="O192" s="140">
        <f>IF($J192="","",IFERROR(VLOOKUP($J192,'Base Settings'!$A$13:$K$19,3,FALSE),0))</f>
        <v/>
      </c>
      <c r="P192" s="140">
        <f>IF($N192="","",$N192*$O192)</f>
        <v/>
      </c>
      <c r="Q192" s="139" t="n"/>
      <c r="R192" s="139" t="n"/>
      <c r="S192" s="139" t="n"/>
      <c r="T192" s="139" t="n"/>
      <c r="U192" s="140">
        <f>IF($J192="","",IFERROR($N192*VLOOKUP($J192,'Base Settings'!$A$13:$K$19,4,FALSE),0))</f>
        <v/>
      </c>
      <c r="V192" s="140">
        <f>IFERROR($N192/$S192,"")</f>
        <v/>
      </c>
      <c r="W192" s="140">
        <f>IFERROR($N192/$T192,"")</f>
        <v/>
      </c>
      <c r="X192" s="80" t="n"/>
      <c r="Y192" s="80" t="n"/>
    </row>
    <row r="193">
      <c r="A193" s="80" t="n"/>
      <c r="B193" s="138" t="n"/>
      <c r="C193" s="80" t="n"/>
      <c r="D193" s="80" t="n"/>
      <c r="E193" s="80" t="n"/>
      <c r="F193" s="80" t="n"/>
      <c r="G193" s="80" t="n"/>
      <c r="H193" s="80" t="n"/>
      <c r="I193" s="80" t="n"/>
      <c r="J193" s="80" t="n"/>
      <c r="K193" s="82">
        <f>IF($J193="","",IFERROR(VLOOKUP($J193,'Base Settings'!$A$13:$K$19,2,FALSE),""))</f>
        <v/>
      </c>
      <c r="L193" s="139" t="n"/>
      <c r="M193" s="139" t="n"/>
      <c r="N193" s="140">
        <f>IF(OR($L193="",$M193=""),"",MAX(0,$L193-$M193))</f>
        <v/>
      </c>
      <c r="O193" s="140">
        <f>IF($J193="","",IFERROR(VLOOKUP($J193,'Base Settings'!$A$13:$K$19,3,FALSE),0))</f>
        <v/>
      </c>
      <c r="P193" s="140">
        <f>IF($N193="","",$N193*$O193)</f>
        <v/>
      </c>
      <c r="Q193" s="139" t="n"/>
      <c r="R193" s="139" t="n"/>
      <c r="S193" s="139" t="n"/>
      <c r="T193" s="139" t="n"/>
      <c r="U193" s="140">
        <f>IF($J193="","",IFERROR($N193*VLOOKUP($J193,'Base Settings'!$A$13:$K$19,4,FALSE),0))</f>
        <v/>
      </c>
      <c r="V193" s="140">
        <f>IFERROR($N193/$S193,"")</f>
        <v/>
      </c>
      <c r="W193" s="140">
        <f>IFERROR($N193/$T193,"")</f>
        <v/>
      </c>
      <c r="X193" s="80" t="n"/>
      <c r="Y193" s="80" t="n"/>
    </row>
    <row r="194">
      <c r="A194" s="80" t="n"/>
      <c r="B194" s="138" t="n"/>
      <c r="C194" s="80" t="n"/>
      <c r="D194" s="80" t="n"/>
      <c r="E194" s="80" t="n"/>
      <c r="F194" s="80" t="n"/>
      <c r="G194" s="80" t="n"/>
      <c r="H194" s="80" t="n"/>
      <c r="I194" s="80" t="n"/>
      <c r="J194" s="80" t="n"/>
      <c r="K194" s="82">
        <f>IF($J194="","",IFERROR(VLOOKUP($J194,'Base Settings'!$A$13:$K$19,2,FALSE),""))</f>
        <v/>
      </c>
      <c r="L194" s="139" t="n"/>
      <c r="M194" s="139" t="n"/>
      <c r="N194" s="140">
        <f>IF(OR($L194="",$M194=""),"",MAX(0,$L194-$M194))</f>
        <v/>
      </c>
      <c r="O194" s="140">
        <f>IF($J194="","",IFERROR(VLOOKUP($J194,'Base Settings'!$A$13:$K$19,3,FALSE),0))</f>
        <v/>
      </c>
      <c r="P194" s="140">
        <f>IF($N194="","",$N194*$O194)</f>
        <v/>
      </c>
      <c r="Q194" s="139" t="n"/>
      <c r="R194" s="139" t="n"/>
      <c r="S194" s="139" t="n"/>
      <c r="T194" s="139" t="n"/>
      <c r="U194" s="140">
        <f>IF($J194="","",IFERROR($N194*VLOOKUP($J194,'Base Settings'!$A$13:$K$19,4,FALSE),0))</f>
        <v/>
      </c>
      <c r="V194" s="140">
        <f>IFERROR($N194/$S194,"")</f>
        <v/>
      </c>
      <c r="W194" s="140">
        <f>IFERROR($N194/$T194,"")</f>
        <v/>
      </c>
      <c r="X194" s="80" t="n"/>
      <c r="Y194" s="80" t="n"/>
    </row>
    <row r="195">
      <c r="A195" s="80" t="n"/>
      <c r="B195" s="138" t="n"/>
      <c r="C195" s="80" t="n"/>
      <c r="D195" s="80" t="n"/>
      <c r="E195" s="80" t="n"/>
      <c r="F195" s="80" t="n"/>
      <c r="G195" s="80" t="n"/>
      <c r="H195" s="80" t="n"/>
      <c r="I195" s="80" t="n"/>
      <c r="J195" s="80" t="n"/>
      <c r="K195" s="82">
        <f>IF($J195="","",IFERROR(VLOOKUP($J195,'Base Settings'!$A$13:$K$19,2,FALSE),""))</f>
        <v/>
      </c>
      <c r="L195" s="139" t="n"/>
      <c r="M195" s="139" t="n"/>
      <c r="N195" s="140">
        <f>IF(OR($L195="",$M195=""),"",MAX(0,$L195-$M195))</f>
        <v/>
      </c>
      <c r="O195" s="140">
        <f>IF($J195="","",IFERROR(VLOOKUP($J195,'Base Settings'!$A$13:$K$19,3,FALSE),0))</f>
        <v/>
      </c>
      <c r="P195" s="140">
        <f>IF($N195="","",$N195*$O195)</f>
        <v/>
      </c>
      <c r="Q195" s="139" t="n"/>
      <c r="R195" s="139" t="n"/>
      <c r="S195" s="139" t="n"/>
      <c r="T195" s="139" t="n"/>
      <c r="U195" s="140">
        <f>IF($J195="","",IFERROR($N195*VLOOKUP($J195,'Base Settings'!$A$13:$K$19,4,FALSE),0))</f>
        <v/>
      </c>
      <c r="V195" s="140">
        <f>IFERROR($N195/$S195,"")</f>
        <v/>
      </c>
      <c r="W195" s="140">
        <f>IFERROR($N195/$T195,"")</f>
        <v/>
      </c>
      <c r="X195" s="80" t="n"/>
      <c r="Y195" s="80" t="n"/>
    </row>
    <row r="196">
      <c r="A196" s="80" t="n"/>
      <c r="B196" s="138" t="n"/>
      <c r="C196" s="80" t="n"/>
      <c r="D196" s="80" t="n"/>
      <c r="E196" s="80" t="n"/>
      <c r="F196" s="80" t="n"/>
      <c r="G196" s="80" t="n"/>
      <c r="H196" s="80" t="n"/>
      <c r="I196" s="80" t="n"/>
      <c r="J196" s="80" t="n"/>
      <c r="K196" s="82">
        <f>IF($J196="","",IFERROR(VLOOKUP($J196,'Base Settings'!$A$13:$K$19,2,FALSE),""))</f>
        <v/>
      </c>
      <c r="L196" s="139" t="n"/>
      <c r="M196" s="139" t="n"/>
      <c r="N196" s="140">
        <f>IF(OR($L196="",$M196=""),"",MAX(0,$L196-$M196))</f>
        <v/>
      </c>
      <c r="O196" s="140">
        <f>IF($J196="","",IFERROR(VLOOKUP($J196,'Base Settings'!$A$13:$K$19,3,FALSE),0))</f>
        <v/>
      </c>
      <c r="P196" s="140">
        <f>IF($N196="","",$N196*$O196)</f>
        <v/>
      </c>
      <c r="Q196" s="139" t="n"/>
      <c r="R196" s="139" t="n"/>
      <c r="S196" s="139" t="n"/>
      <c r="T196" s="139" t="n"/>
      <c r="U196" s="140">
        <f>IF($J196="","",IFERROR($N196*VLOOKUP($J196,'Base Settings'!$A$13:$K$19,4,FALSE),0))</f>
        <v/>
      </c>
      <c r="V196" s="140">
        <f>IFERROR($N196/$S196,"")</f>
        <v/>
      </c>
      <c r="W196" s="140">
        <f>IFERROR($N196/$T196,"")</f>
        <v/>
      </c>
      <c r="X196" s="80" t="n"/>
      <c r="Y196" s="80" t="n"/>
    </row>
    <row r="197">
      <c r="A197" s="80" t="n"/>
      <c r="B197" s="138" t="n"/>
      <c r="C197" s="80" t="n"/>
      <c r="D197" s="80" t="n"/>
      <c r="E197" s="80" t="n"/>
      <c r="F197" s="80" t="n"/>
      <c r="G197" s="80" t="n"/>
      <c r="H197" s="80" t="n"/>
      <c r="I197" s="80" t="n"/>
      <c r="J197" s="80" t="n"/>
      <c r="K197" s="82">
        <f>IF($J197="","",IFERROR(VLOOKUP($J197,'Base Settings'!$A$13:$K$19,2,FALSE),""))</f>
        <v/>
      </c>
      <c r="L197" s="139" t="n"/>
      <c r="M197" s="139" t="n"/>
      <c r="N197" s="140">
        <f>IF(OR($L197="",$M197=""),"",MAX(0,$L197-$M197))</f>
        <v/>
      </c>
      <c r="O197" s="140">
        <f>IF($J197="","",IFERROR(VLOOKUP($J197,'Base Settings'!$A$13:$K$19,3,FALSE),0))</f>
        <v/>
      </c>
      <c r="P197" s="140">
        <f>IF($N197="","",$N197*$O197)</f>
        <v/>
      </c>
      <c r="Q197" s="139" t="n"/>
      <c r="R197" s="139" t="n"/>
      <c r="S197" s="139" t="n"/>
      <c r="T197" s="139" t="n"/>
      <c r="U197" s="140">
        <f>IF($J197="","",IFERROR($N197*VLOOKUP($J197,'Base Settings'!$A$13:$K$19,4,FALSE),0))</f>
        <v/>
      </c>
      <c r="V197" s="140">
        <f>IFERROR($N197/$S197,"")</f>
        <v/>
      </c>
      <c r="W197" s="140">
        <f>IFERROR($N197/$T197,"")</f>
        <v/>
      </c>
      <c r="X197" s="80" t="n"/>
      <c r="Y197" s="80" t="n"/>
    </row>
    <row r="198">
      <c r="A198" s="80" t="n"/>
      <c r="B198" s="138" t="n"/>
      <c r="C198" s="80" t="n"/>
      <c r="D198" s="80" t="n"/>
      <c r="E198" s="80" t="n"/>
      <c r="F198" s="80" t="n"/>
      <c r="G198" s="80" t="n"/>
      <c r="H198" s="80" t="n"/>
      <c r="I198" s="80" t="n"/>
      <c r="J198" s="80" t="n"/>
      <c r="K198" s="82">
        <f>IF($J198="","",IFERROR(VLOOKUP($J198,'Base Settings'!$A$13:$K$19,2,FALSE),""))</f>
        <v/>
      </c>
      <c r="L198" s="139" t="n"/>
      <c r="M198" s="139" t="n"/>
      <c r="N198" s="140">
        <f>IF(OR($L198="",$M198=""),"",MAX(0,$L198-$M198))</f>
        <v/>
      </c>
      <c r="O198" s="140">
        <f>IF($J198="","",IFERROR(VLOOKUP($J198,'Base Settings'!$A$13:$K$19,3,FALSE),0))</f>
        <v/>
      </c>
      <c r="P198" s="140">
        <f>IF($N198="","",$N198*$O198)</f>
        <v/>
      </c>
      <c r="Q198" s="139" t="n"/>
      <c r="R198" s="139" t="n"/>
      <c r="S198" s="139" t="n"/>
      <c r="T198" s="139" t="n"/>
      <c r="U198" s="140">
        <f>IF($J198="","",IFERROR($N198*VLOOKUP($J198,'Base Settings'!$A$13:$K$19,4,FALSE),0))</f>
        <v/>
      </c>
      <c r="V198" s="140">
        <f>IFERROR($N198/$S198,"")</f>
        <v/>
      </c>
      <c r="W198" s="140">
        <f>IFERROR($N198/$T198,"")</f>
        <v/>
      </c>
      <c r="X198" s="80" t="n"/>
      <c r="Y198" s="80" t="n"/>
    </row>
    <row r="199">
      <c r="A199" s="80" t="n"/>
      <c r="B199" s="138" t="n"/>
      <c r="C199" s="80" t="n"/>
      <c r="D199" s="80" t="n"/>
      <c r="E199" s="80" t="n"/>
      <c r="F199" s="80" t="n"/>
      <c r="G199" s="80" t="n"/>
      <c r="H199" s="80" t="n"/>
      <c r="I199" s="80" t="n"/>
      <c r="J199" s="80" t="n"/>
      <c r="K199" s="82">
        <f>IF($J199="","",IFERROR(VLOOKUP($J199,'Base Settings'!$A$13:$K$19,2,FALSE),""))</f>
        <v/>
      </c>
      <c r="L199" s="139" t="n"/>
      <c r="M199" s="139" t="n"/>
      <c r="N199" s="140">
        <f>IF(OR($L199="",$M199=""),"",MAX(0,$L199-$M199))</f>
        <v/>
      </c>
      <c r="O199" s="140">
        <f>IF($J199="","",IFERROR(VLOOKUP($J199,'Base Settings'!$A$13:$K$19,3,FALSE),0))</f>
        <v/>
      </c>
      <c r="P199" s="140">
        <f>IF($N199="","",$N199*$O199)</f>
        <v/>
      </c>
      <c r="Q199" s="139" t="n"/>
      <c r="R199" s="139" t="n"/>
      <c r="S199" s="139" t="n"/>
      <c r="T199" s="139" t="n"/>
      <c r="U199" s="140">
        <f>IF($J199="","",IFERROR($N199*VLOOKUP($J199,'Base Settings'!$A$13:$K$19,4,FALSE),0))</f>
        <v/>
      </c>
      <c r="V199" s="140">
        <f>IFERROR($N199/$S199,"")</f>
        <v/>
      </c>
      <c r="W199" s="140">
        <f>IFERROR($N199/$T199,"")</f>
        <v/>
      </c>
      <c r="X199" s="80" t="n"/>
      <c r="Y199" s="80" t="n"/>
    </row>
    <row r="200">
      <c r="A200" s="80" t="n"/>
      <c r="B200" s="138" t="n"/>
      <c r="C200" s="80" t="n"/>
      <c r="D200" s="80" t="n"/>
      <c r="E200" s="80" t="n"/>
      <c r="F200" s="80" t="n"/>
      <c r="G200" s="80" t="n"/>
      <c r="H200" s="80" t="n"/>
      <c r="I200" s="80" t="n"/>
      <c r="J200" s="80" t="n"/>
      <c r="K200" s="82">
        <f>IF($J200="","",IFERROR(VLOOKUP($J200,'Base Settings'!$A$13:$K$19,2,FALSE),""))</f>
        <v/>
      </c>
      <c r="L200" s="139" t="n"/>
      <c r="M200" s="139" t="n"/>
      <c r="N200" s="140">
        <f>IF(OR($L200="",$M200=""),"",MAX(0,$L200-$M200))</f>
        <v/>
      </c>
      <c r="O200" s="140">
        <f>IF($J200="","",IFERROR(VLOOKUP($J200,'Base Settings'!$A$13:$K$19,3,FALSE),0))</f>
        <v/>
      </c>
      <c r="P200" s="140">
        <f>IF($N200="","",$N200*$O200)</f>
        <v/>
      </c>
      <c r="Q200" s="139" t="n"/>
      <c r="R200" s="139" t="n"/>
      <c r="S200" s="139" t="n"/>
      <c r="T200" s="139" t="n"/>
      <c r="U200" s="140">
        <f>IF($J200="","",IFERROR($N200*VLOOKUP($J200,'Base Settings'!$A$13:$K$19,4,FALSE),0))</f>
        <v/>
      </c>
      <c r="V200" s="140">
        <f>IFERROR($N200/$S200,"")</f>
        <v/>
      </c>
      <c r="W200" s="140">
        <f>IFERROR($N200/$T200,"")</f>
        <v/>
      </c>
      <c r="X200" s="80" t="n"/>
      <c r="Y200" s="80" t="n"/>
    </row>
    <row r="201">
      <c r="A201" s="80" t="n"/>
      <c r="B201" s="138" t="n"/>
      <c r="C201" s="80" t="n"/>
      <c r="D201" s="80" t="n"/>
      <c r="E201" s="80" t="n"/>
      <c r="F201" s="80" t="n"/>
      <c r="G201" s="80" t="n"/>
      <c r="H201" s="80" t="n"/>
      <c r="I201" s="80" t="n"/>
      <c r="J201" s="80" t="n"/>
      <c r="K201" s="82">
        <f>IF($J201="","",IFERROR(VLOOKUP($J201,'Base Settings'!$A$13:$K$19,2,FALSE),""))</f>
        <v/>
      </c>
      <c r="L201" s="139" t="n"/>
      <c r="M201" s="139" t="n"/>
      <c r="N201" s="140">
        <f>IF(OR($L201="",$M201=""),"",MAX(0,$L201-$M201))</f>
        <v/>
      </c>
      <c r="O201" s="140">
        <f>IF($J201="","",IFERROR(VLOOKUP($J201,'Base Settings'!$A$13:$K$19,3,FALSE),0))</f>
        <v/>
      </c>
      <c r="P201" s="140">
        <f>IF($N201="","",$N201*$O201)</f>
        <v/>
      </c>
      <c r="Q201" s="139" t="n"/>
      <c r="R201" s="139" t="n"/>
      <c r="S201" s="139" t="n"/>
      <c r="T201" s="139" t="n"/>
      <c r="U201" s="140">
        <f>IF($J201="","",IFERROR($N201*VLOOKUP($J201,'Base Settings'!$A$13:$K$19,4,FALSE),0))</f>
        <v/>
      </c>
      <c r="V201" s="140">
        <f>IFERROR($N201/$S201,"")</f>
        <v/>
      </c>
      <c r="W201" s="140">
        <f>IFERROR($N201/$T201,"")</f>
        <v/>
      </c>
      <c r="X201" s="80" t="n"/>
      <c r="Y201" s="80" t="n"/>
    </row>
    <row r="202">
      <c r="A202" s="80" t="n"/>
      <c r="B202" s="138" t="n"/>
      <c r="C202" s="80" t="n"/>
      <c r="D202" s="80" t="n"/>
      <c r="E202" s="80" t="n"/>
      <c r="F202" s="80" t="n"/>
      <c r="G202" s="80" t="n"/>
      <c r="H202" s="80" t="n"/>
      <c r="I202" s="80" t="n"/>
      <c r="J202" s="80" t="n"/>
      <c r="K202" s="82">
        <f>IF($J202="","",IFERROR(VLOOKUP($J202,'Base Settings'!$A$13:$K$19,2,FALSE),""))</f>
        <v/>
      </c>
      <c r="L202" s="139" t="n"/>
      <c r="M202" s="139" t="n"/>
      <c r="N202" s="140">
        <f>IF(OR($L202="",$M202=""),"",MAX(0,$L202-$M202))</f>
        <v/>
      </c>
      <c r="O202" s="140">
        <f>IF($J202="","",IFERROR(VLOOKUP($J202,'Base Settings'!$A$13:$K$19,3,FALSE),0))</f>
        <v/>
      </c>
      <c r="P202" s="140">
        <f>IF($N202="","",$N202*$O202)</f>
        <v/>
      </c>
      <c r="Q202" s="139" t="n"/>
      <c r="R202" s="139" t="n"/>
      <c r="S202" s="139" t="n"/>
      <c r="T202" s="139" t="n"/>
      <c r="U202" s="140">
        <f>IF($J202="","",IFERROR($N202*VLOOKUP($J202,'Base Settings'!$A$13:$K$19,4,FALSE),0))</f>
        <v/>
      </c>
      <c r="V202" s="140">
        <f>IFERROR($N202/$S202,"")</f>
        <v/>
      </c>
      <c r="W202" s="140">
        <f>IFERROR($N202/$T202,"")</f>
        <v/>
      </c>
      <c r="X202" s="80" t="n"/>
      <c r="Y202" s="80" t="n"/>
    </row>
    <row r="203">
      <c r="A203" s="80" t="n"/>
      <c r="B203" s="138" t="n"/>
      <c r="C203" s="80" t="n"/>
      <c r="D203" s="80" t="n"/>
      <c r="E203" s="80" t="n"/>
      <c r="F203" s="80" t="n"/>
      <c r="G203" s="80" t="n"/>
      <c r="H203" s="80" t="n"/>
      <c r="I203" s="80" t="n"/>
      <c r="J203" s="80" t="n"/>
      <c r="K203" s="82">
        <f>IF($J203="","",IFERROR(VLOOKUP($J203,'Base Settings'!$A$13:$K$19,2,FALSE),""))</f>
        <v/>
      </c>
      <c r="L203" s="139" t="n"/>
      <c r="M203" s="139" t="n"/>
      <c r="N203" s="140">
        <f>IF(OR($L203="",$M203=""),"",MAX(0,$L203-$M203))</f>
        <v/>
      </c>
      <c r="O203" s="140">
        <f>IF($J203="","",IFERROR(VLOOKUP($J203,'Base Settings'!$A$13:$K$19,3,FALSE),0))</f>
        <v/>
      </c>
      <c r="P203" s="140">
        <f>IF($N203="","",$N203*$O203)</f>
        <v/>
      </c>
      <c r="Q203" s="139" t="n"/>
      <c r="R203" s="139" t="n"/>
      <c r="S203" s="139" t="n"/>
      <c r="T203" s="139" t="n"/>
      <c r="U203" s="140">
        <f>IF($J203="","",IFERROR($N203*VLOOKUP($J203,'Base Settings'!$A$13:$K$19,4,FALSE),0))</f>
        <v/>
      </c>
      <c r="V203" s="140">
        <f>IFERROR($N203/$S203,"")</f>
        <v/>
      </c>
      <c r="W203" s="140">
        <f>IFERROR($N203/$T203,"")</f>
        <v/>
      </c>
      <c r="X203" s="80" t="n"/>
      <c r="Y203" s="80" t="n"/>
    </row>
    <row r="204">
      <c r="A204" s="80" t="n"/>
      <c r="B204" s="138" t="n"/>
      <c r="C204" s="80" t="n"/>
      <c r="D204" s="80" t="n"/>
      <c r="E204" s="80" t="n"/>
      <c r="F204" s="80" t="n"/>
      <c r="G204" s="80" t="n"/>
      <c r="H204" s="80" t="n"/>
      <c r="I204" s="80" t="n"/>
      <c r="J204" s="80" t="n"/>
      <c r="K204" s="82">
        <f>IF($J204="","",IFERROR(VLOOKUP($J204,'Base Settings'!$A$13:$K$19,2,FALSE),""))</f>
        <v/>
      </c>
      <c r="L204" s="139" t="n"/>
      <c r="M204" s="139" t="n"/>
      <c r="N204" s="140">
        <f>IF(OR($L204="",$M204=""),"",MAX(0,$L204-$M204))</f>
        <v/>
      </c>
      <c r="O204" s="140">
        <f>IF($J204="","",IFERROR(VLOOKUP($J204,'Base Settings'!$A$13:$K$19,3,FALSE),0))</f>
        <v/>
      </c>
      <c r="P204" s="140">
        <f>IF($N204="","",$N204*$O204)</f>
        <v/>
      </c>
      <c r="Q204" s="139" t="n"/>
      <c r="R204" s="139" t="n"/>
      <c r="S204" s="139" t="n"/>
      <c r="T204" s="139" t="n"/>
      <c r="U204" s="140">
        <f>IF($J204="","",IFERROR($N204*VLOOKUP($J204,'Base Settings'!$A$13:$K$19,4,FALSE),0))</f>
        <v/>
      </c>
      <c r="V204" s="140">
        <f>IFERROR($N204/$S204,"")</f>
        <v/>
      </c>
      <c r="W204" s="140">
        <f>IFERROR($N204/$T204,"")</f>
        <v/>
      </c>
      <c r="X204" s="80" t="n"/>
      <c r="Y204" s="80" t="n"/>
    </row>
    <row r="205">
      <c r="A205" s="80" t="n"/>
      <c r="B205" s="138" t="n"/>
      <c r="C205" s="80" t="n"/>
      <c r="D205" s="80" t="n"/>
      <c r="E205" s="80" t="n"/>
      <c r="F205" s="80" t="n"/>
      <c r="G205" s="80" t="n"/>
      <c r="H205" s="80" t="n"/>
      <c r="I205" s="80" t="n"/>
      <c r="J205" s="80" t="n"/>
      <c r="K205" s="82">
        <f>IF($J205="","",IFERROR(VLOOKUP($J205,'Base Settings'!$A$13:$K$19,2,FALSE),""))</f>
        <v/>
      </c>
      <c r="L205" s="139" t="n"/>
      <c r="M205" s="139" t="n"/>
      <c r="N205" s="140">
        <f>IF(OR($L205="",$M205=""),"",MAX(0,$L205-$M205))</f>
        <v/>
      </c>
      <c r="O205" s="140">
        <f>IF($J205="","",IFERROR(VLOOKUP($J205,'Base Settings'!$A$13:$K$19,3,FALSE),0))</f>
        <v/>
      </c>
      <c r="P205" s="140">
        <f>IF($N205="","",$N205*$O205)</f>
        <v/>
      </c>
      <c r="Q205" s="139" t="n"/>
      <c r="R205" s="139" t="n"/>
      <c r="S205" s="139" t="n"/>
      <c r="T205" s="139" t="n"/>
      <c r="U205" s="140">
        <f>IF($J205="","",IFERROR($N205*VLOOKUP($J205,'Base Settings'!$A$13:$K$19,4,FALSE),0))</f>
        <v/>
      </c>
      <c r="V205" s="140">
        <f>IFERROR($N205/$S205,"")</f>
        <v/>
      </c>
      <c r="W205" s="140">
        <f>IFERROR($N205/$T205,"")</f>
        <v/>
      </c>
      <c r="X205" s="80" t="n"/>
      <c r="Y205" s="80" t="n"/>
    </row>
  </sheetData>
  <mergeCells count="1">
    <mergeCell ref="A1:Y1"/>
  </mergeCells>
  <dataValidations count="4">
    <dataValidation sqref="D6:D205" showDropDown="0" showInputMessage="0" showErrorMessage="0" allowBlank="0" type="list">
      <formula1>Base Settings!$M$14:$M$21</formula1>
    </dataValidation>
    <dataValidation sqref="J6:J205" showDropDown="0" showInputMessage="0" showErrorMessage="0" allowBlank="0" type="list">
      <formula1>Base Settings!$S$13:$S$19</formula1>
    </dataValidation>
    <dataValidation sqref="Q6:Q205" showDropDown="0" showInputMessage="0" showErrorMessage="0" allowBlank="0" type="list">
      <formula1>Base Settings!$P$13:$P$20</formula1>
    </dataValidation>
    <dataValidation sqref="X6:X205" showDropDown="0" showInputMessage="0" showErrorMessage="0" allowBlank="0" type="list">
      <formula1>Base Settings!$O$13:$O$18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X20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4" customWidth="1" min="3" max="3"/>
    <col width="20" customWidth="1" min="4" max="4"/>
    <col width="18" customWidth="1" min="5" max="5"/>
    <col width="22" customWidth="1" min="6" max="6"/>
    <col width="22" customWidth="1" min="7" max="7"/>
    <col width="10" customWidth="1" min="8" max="8"/>
    <col width="12" customWidth="1" min="9" max="9"/>
    <col width="12" customWidth="1" min="10" max="10"/>
    <col width="10" customWidth="1" min="11" max="11"/>
    <col width="14" customWidth="1" min="12" max="12"/>
    <col width="10" customWidth="1" min="13" max="13"/>
    <col width="18" customWidth="1" min="14" max="14"/>
    <col width="10" customWidth="1" min="15" max="15"/>
    <col width="14" customWidth="1" min="16" max="16"/>
    <col width="45" customWidth="1" min="17" max="17"/>
    <col width="18" customWidth="1" min="18" max="18"/>
    <col width="12" customWidth="1" min="19" max="19"/>
    <col width="12" customWidth="1" min="20" max="20"/>
    <col width="10" customWidth="1" min="21" max="21"/>
    <col width="14" customWidth="1" min="22" max="22"/>
    <col width="12" customWidth="1" min="23" max="23"/>
    <col width="28" customWidth="1" min="24" max="24"/>
  </cols>
  <sheetData>
    <row r="1" ht="34" customHeight="1">
      <c r="A1" s="9" t="inlineStr">
        <is>
          <t>Anomaly Detection for Spikes, Drops, Stalled Readings, and Intensity Overruns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</row>
    <row r="2" ht="24" customHeight="1">
      <c r="A2" s="13" t="inlineStr">
        <is>
          <t>Description</t>
        </is>
      </c>
      <c r="B2" s="13" t="inlineStr">
        <is>
          <t>Baseline is the previous 7-day average for the same metering point. Deviation, financial impact, risk level, and recommended action are automatic.</t>
        </is>
      </c>
      <c r="C2" s="13" t="n"/>
      <c r="D2" s="13" t="n"/>
      <c r="E2" s="13" t="n"/>
      <c r="F2" s="13" t="n"/>
      <c r="G2" s="13" t="n"/>
      <c r="H2" s="13" t="n"/>
      <c r="I2" s="13" t="n"/>
      <c r="J2" s="13" t="n"/>
      <c r="K2" s="13" t="n"/>
      <c r="L2" s="13" t="n"/>
      <c r="M2" s="13" t="n"/>
      <c r="N2" s="13" t="n"/>
      <c r="O2" s="13" t="n"/>
      <c r="P2" s="13" t="n"/>
      <c r="Q2" s="13" t="n"/>
      <c r="R2" s="13" t="n"/>
      <c r="S2" s="13" t="n"/>
      <c r="T2" s="13" t="n"/>
      <c r="U2" s="13" t="n"/>
      <c r="V2" s="13" t="n"/>
      <c r="W2" s="13" t="n"/>
      <c r="X2" s="13" t="n"/>
    </row>
    <row r="3" ht="24" customHeight="1">
      <c r="A3" s="13" t="inlineStr">
        <is>
          <t>使用</t>
        </is>
      </c>
      <c r="B3" s="13" t="inlineStr">
        <is>
          <t>Status, work order number, and close date can be maintained manually. Copy anomalies to Closed-loop Actions to create work orders.</t>
        </is>
      </c>
      <c r="C3" s="13" t="n"/>
      <c r="D3" s="13" t="n"/>
      <c r="E3" s="13" t="n"/>
      <c r="F3" s="13" t="n"/>
      <c r="G3" s="13" t="n"/>
      <c r="H3" s="13" t="n"/>
      <c r="I3" s="13" t="n"/>
      <c r="J3" s="13" t="n"/>
      <c r="K3" s="13" t="n"/>
      <c r="L3" s="13" t="n"/>
      <c r="M3" s="13" t="n"/>
      <c r="N3" s="13" t="n"/>
      <c r="O3" s="13" t="n"/>
      <c r="P3" s="13" t="n"/>
      <c r="Q3" s="13" t="n"/>
      <c r="R3" s="13" t="n"/>
      <c r="S3" s="13" t="n"/>
      <c r="T3" s="13" t="n"/>
      <c r="U3" s="13" t="n"/>
      <c r="V3" s="13" t="n"/>
      <c r="W3" s="13" t="n"/>
      <c r="X3" s="13" t="n"/>
    </row>
    <row r="5">
      <c r="A5" s="94" t="inlineStr">
        <is>
          <t>Anomaly ID</t>
        </is>
      </c>
      <c r="B5" s="94" t="inlineStr">
        <is>
          <t>Detection date</t>
        </is>
      </c>
      <c r="C5" s="94" t="inlineStr">
        <is>
          <t>Company</t>
        </is>
      </c>
      <c r="D5" s="94" t="inlineStr">
        <is>
          <t>Business scenario</t>
        </is>
      </c>
      <c r="E5" s="94" t="inlineStr">
        <is>
          <t>Area / site</t>
        </is>
      </c>
      <c r="F5" s="94" t="inlineStr">
        <is>
          <t>Department / object</t>
        </is>
      </c>
      <c r="G5" s="94" t="inlineStr">
        <is>
          <t>Equipment / metering point</t>
        </is>
      </c>
      <c r="H5" s="94" t="inlineStr">
        <is>
          <t>Energy type</t>
        </is>
      </c>
      <c r="I5" s="94" t="inlineStr">
        <is>
          <t>Current usage</t>
        </is>
      </c>
      <c r="J5" s="94" t="inlineStr">
        <is>
          <t>7-day baseline</t>
        </is>
      </c>
      <c r="K5" s="94" t="inlineStr">
        <is>
          <t>Deviation rate</t>
        </is>
      </c>
      <c r="L5" s="94" t="inlineStr">
        <is>
          <t>Energy per area</t>
        </is>
      </c>
      <c r="M5" s="94" t="inlineStr">
        <is>
          <t>Alert threshold</t>
        </is>
      </c>
      <c r="N5" s="94" t="inlineStr">
        <is>
          <t>Anomaly category</t>
        </is>
      </c>
      <c r="O5" s="94" t="inlineStr">
        <is>
          <t>Risk level</t>
        </is>
      </c>
      <c r="P5" s="94" t="inlineStr">
        <is>
          <t>Financial impact</t>
        </is>
      </c>
      <c r="Q5" s="94" t="inlineStr">
        <is>
          <t>Recommended action</t>
        </is>
      </c>
      <c r="R5" s="94" t="inlineStr">
        <is>
          <t>Responsible role</t>
        </is>
      </c>
      <c r="S5" s="94" t="inlineStr">
        <is>
          <t>Status</t>
        </is>
      </c>
      <c r="T5" s="94" t="inlineStr">
        <is>
          <t>Planned completion date</t>
        </is>
      </c>
      <c r="U5" s="94" t="inlineStr">
        <is>
          <t>Overdue?</t>
        </is>
      </c>
      <c r="V5" s="94" t="inlineStr">
        <is>
          <t>Work order No.</t>
        </is>
      </c>
      <c r="W5" s="94" t="inlineStr">
        <is>
          <t>Close date</t>
        </is>
      </c>
      <c r="X5" s="94" t="inlineStr">
        <is>
          <t>Notes</t>
        </is>
      </c>
    </row>
    <row r="6">
      <c r="A6" s="102">
        <f>IF('Energy Data Input'!$A6="","","AL-"&amp;TEXT(ROW()-5,"0000"))</f>
        <v/>
      </c>
      <c r="B6" s="141">
        <f>IF('Energy Data Input'!$B6="","",'Energy Data Input'!$B6)</f>
        <v/>
      </c>
      <c r="C6" s="102">
        <f>IF('Energy Data Input'!$C6="","",'Energy Data Input'!$C6)</f>
        <v/>
      </c>
      <c r="D6" s="102">
        <f>IF('Energy Data Input'!$D6="","",'Energy Data Input'!$D6)</f>
        <v/>
      </c>
      <c r="E6" s="102">
        <f>IF('Energy Data Input'!$E6="","",'Energy Data Input'!$E6)</f>
        <v/>
      </c>
      <c r="F6" s="102">
        <f>IF('Energy Data Input'!$G6="","",'Energy Data Input'!$G6)</f>
        <v/>
      </c>
      <c r="G6" s="102">
        <f>IF('Energy Data Input'!$H6="","",'Energy Data Input'!$H6)</f>
        <v/>
      </c>
      <c r="H6" s="102">
        <f>IF('Energy Data Input'!$J6="","",'Energy Data Input'!$J6)</f>
        <v/>
      </c>
      <c r="I6" s="142">
        <f>IF('Energy Data Input'!$N6="","",'Energy Data Input'!$N6)</f>
        <v/>
      </c>
      <c r="J6" s="142">
        <f>IF($B6="","",IFERROR(AVERAGEIFS('Energy Data Input'!$N$6:$N$205,'Energy Data Input'!$B$6:$B$205,"&gt;="&amp;$B6-7,'Energy Data Input'!$B$6:$B$205,"&lt;"&amp;$B6,'Energy Data Input'!$H$6:$H$205,$G6,'Energy Data Input'!$J$6:$J$205,$H6),$I6))</f>
        <v/>
      </c>
      <c r="K6" s="143">
        <f>IFERROR(($I6-$J6)/$J6,"")</f>
        <v/>
      </c>
      <c r="L6" s="102">
        <f>IF('Energy Data Input'!$V6="","",'Energy Data Input'!$V6)</f>
        <v/>
      </c>
      <c r="M6" s="102">
        <f>IF($H6="","",IFERROR(VLOOKUP($H6,'Base Settings'!$A$13:$K$19,5,FALSE),0.2))</f>
        <v/>
      </c>
      <c r="N6" s="102">
        <f>IF($B6="","",IF('Energy Data Input'!$L6="","Missing reading",IF($I6=0,"Stalled reading / possibly offline",IF($K6&gt;=IFERROR(VLOOKUP($H6,'Base Settings'!$A$13:$K$19,6,FALSE),0.5),"Severe spike",IF($K6&gt;=$M6,"Usage spike",IF($K6&lt;=-IFERROR(VLOOKUP($H6,'Base Settings'!$A$13:$K$19,7,FALSE),0.3),"Usage drop",IF($L6&gt;IFERROR(VLOOKUP($H6,'Base Settings'!$A$13:$K$19,8,FALSE),999999),"Area intensity overrun","Normal")))))))</f>
        <v/>
      </c>
      <c r="O6" s="102">
        <f>IF($N6="","",IF($N6="Normal","Normal",IF(OR($N6="Severe spike",$K6&gt;=IFERROR(VLOOKUP($H6,'Base Settings'!$A$13:$K$19,6,FALSE),0.5)),"Severe",IF(OR($N6="Usage spike",$N6="Usage drop"),"High","Medium"))))</f>
        <v/>
      </c>
      <c r="P6" s="144">
        <f>IF(OR($N6="",$N6="Normal"),0,ABS($I6-$J6)*'Energy Data Input'!$O6)</f>
        <v/>
      </c>
      <c r="Q6" s="102">
        <f>IF($N6="Normal","",IF($N6="Stalled reading / possibly offline","核查表计通信/Electricity池/网关/阀门Status",IF(AND($H6="Water",$N6&lt;&gt;"Normal"),"检查管网、阀门、卫生间、冷却塔及夜间最小流量",IF(AND($H6="Electricity",$N6&lt;&gt;"Normal"),"检查空调、照明、生产设备、PeakOff-peak时段与待机功耗",IF(AND($H6="Gas",$N6&lt;&gt;"Normal"),"检查燃Gas阀门、锅炉/厨房设备与泄漏风险","核查设备工况、排班、产量与计量数据")))))</f>
        <v/>
      </c>
      <c r="R6" s="102">
        <f>IF($H6="","",IFERROR(VLOOKUP($H6,'Base Settings'!$A$13:$K$19,11,FALSE),"Energy management owner"))</f>
        <v/>
      </c>
      <c r="S6" s="102">
        <f>IF($N6="","",IF($N6="Normal","No action needed","Open"))</f>
        <v/>
      </c>
      <c r="T6" s="141">
        <f>IF(OR($B6="",$N6="Normal"),"",WORKDAY($B6,IF($O6="Severe",1,IF($O6="High",2,3))))</f>
        <v/>
      </c>
      <c r="U6" s="102">
        <f>IF($T6="","",IF(AND($S6&lt;&gt;"Closed",TODAY()&gt;$T6),"Overdue","Not overdue"))</f>
        <v/>
      </c>
      <c r="V6" s="102" t="n"/>
      <c r="W6" s="141" t="n"/>
      <c r="X6" s="102" t="n"/>
    </row>
    <row r="7">
      <c r="A7" s="102">
        <f>IF('Energy Data Input'!$A7="","","AL-"&amp;TEXT(ROW()-5,"0000"))</f>
        <v/>
      </c>
      <c r="B7" s="141">
        <f>IF('Energy Data Input'!$B7="","",'Energy Data Input'!$B7)</f>
        <v/>
      </c>
      <c r="C7" s="102">
        <f>IF('Energy Data Input'!$C7="","",'Energy Data Input'!$C7)</f>
        <v/>
      </c>
      <c r="D7" s="102">
        <f>IF('Energy Data Input'!$D7="","",'Energy Data Input'!$D7)</f>
        <v/>
      </c>
      <c r="E7" s="102">
        <f>IF('Energy Data Input'!$E7="","",'Energy Data Input'!$E7)</f>
        <v/>
      </c>
      <c r="F7" s="102">
        <f>IF('Energy Data Input'!$G7="","",'Energy Data Input'!$G7)</f>
        <v/>
      </c>
      <c r="G7" s="102">
        <f>IF('Energy Data Input'!$H7="","",'Energy Data Input'!$H7)</f>
        <v/>
      </c>
      <c r="H7" s="102">
        <f>IF('Energy Data Input'!$J7="","",'Energy Data Input'!$J7)</f>
        <v/>
      </c>
      <c r="I7" s="142">
        <f>IF('Energy Data Input'!$N7="","",'Energy Data Input'!$N7)</f>
        <v/>
      </c>
      <c r="J7" s="142">
        <f>IF($B7="","",IFERROR(AVERAGEIFS('Energy Data Input'!$N$6:$N$205,'Energy Data Input'!$B$6:$B$205,"&gt;="&amp;$B7-7,'Energy Data Input'!$B$6:$B$205,"&lt;"&amp;$B7,'Energy Data Input'!$H$6:$H$205,$G7,'Energy Data Input'!$J$6:$J$205,$H7),$I7))</f>
        <v/>
      </c>
      <c r="K7" s="143">
        <f>IFERROR(($I7-$J7)/$J7,"")</f>
        <v/>
      </c>
      <c r="L7" s="102">
        <f>IF('Energy Data Input'!$V7="","",'Energy Data Input'!$V7)</f>
        <v/>
      </c>
      <c r="M7" s="102">
        <f>IF($H7="","",IFERROR(VLOOKUP($H7,'Base Settings'!$A$13:$K$19,5,FALSE),0.2))</f>
        <v/>
      </c>
      <c r="N7" s="102">
        <f>IF($B7="","",IF('Energy Data Input'!$L7="","Missing reading",IF($I7=0,"Stalled reading / possibly offline",IF($K7&gt;=IFERROR(VLOOKUP($H7,'Base Settings'!$A$13:$K$19,6,FALSE),0.5),"Severe spike",IF($K7&gt;=$M7,"Usage spike",IF($K7&lt;=-IFERROR(VLOOKUP($H7,'Base Settings'!$A$13:$K$19,7,FALSE),0.3),"Usage drop",IF($L7&gt;IFERROR(VLOOKUP($H7,'Base Settings'!$A$13:$K$19,8,FALSE),999999),"Area intensity overrun","Normal")))))))</f>
        <v/>
      </c>
      <c r="O7" s="102">
        <f>IF($N7="","",IF($N7="Normal","Normal",IF(OR($N7="Severe spike",$K7&gt;=IFERROR(VLOOKUP($H7,'Base Settings'!$A$13:$K$19,6,FALSE),0.5)),"Severe",IF(OR($N7="Usage spike",$N7="Usage drop"),"High","Medium"))))</f>
        <v/>
      </c>
      <c r="P7" s="144">
        <f>IF(OR($N7="",$N7="Normal"),0,ABS($I7-$J7)*'Energy Data Input'!$O7)</f>
        <v/>
      </c>
      <c r="Q7" s="102">
        <f>IF($N7="Normal","",IF($N7="Stalled reading / possibly offline","核查表计通信/Electricity池/网关/阀门Status",IF(AND($H7="Water",$N7&lt;&gt;"Normal"),"检查管网、阀门、卫生间、冷却塔及夜间最小流量",IF(AND($H7="Electricity",$N7&lt;&gt;"Normal"),"检查空调、照明、生产设备、PeakOff-peak时段与待机功耗",IF(AND($H7="Gas",$N7&lt;&gt;"Normal"),"检查燃Gas阀门、锅炉/厨房设备与泄漏风险","核查设备工况、排班、产量与计量数据")))))</f>
        <v/>
      </c>
      <c r="R7" s="102">
        <f>IF($H7="","",IFERROR(VLOOKUP($H7,'Base Settings'!$A$13:$K$19,11,FALSE),"Energy management owner"))</f>
        <v/>
      </c>
      <c r="S7" s="102">
        <f>IF($N7="","",IF($N7="Normal","No action needed","Open"))</f>
        <v/>
      </c>
      <c r="T7" s="141">
        <f>IF(OR($B7="",$N7="Normal"),"",WORKDAY($B7,IF($O7="Severe",1,IF($O7="High",2,3))))</f>
        <v/>
      </c>
      <c r="U7" s="102">
        <f>IF($T7="","",IF(AND($S7&lt;&gt;"Closed",TODAY()&gt;$T7),"Overdue","Not overdue"))</f>
        <v/>
      </c>
      <c r="V7" s="102" t="n"/>
      <c r="W7" s="141" t="n"/>
      <c r="X7" s="102" t="n"/>
    </row>
    <row r="8">
      <c r="A8" s="102">
        <f>IF('Energy Data Input'!$A8="","","AL-"&amp;TEXT(ROW()-5,"0000"))</f>
        <v/>
      </c>
      <c r="B8" s="141">
        <f>IF('Energy Data Input'!$B8="","",'Energy Data Input'!$B8)</f>
        <v/>
      </c>
      <c r="C8" s="102">
        <f>IF('Energy Data Input'!$C8="","",'Energy Data Input'!$C8)</f>
        <v/>
      </c>
      <c r="D8" s="102">
        <f>IF('Energy Data Input'!$D8="","",'Energy Data Input'!$D8)</f>
        <v/>
      </c>
      <c r="E8" s="102">
        <f>IF('Energy Data Input'!$E8="","",'Energy Data Input'!$E8)</f>
        <v/>
      </c>
      <c r="F8" s="102">
        <f>IF('Energy Data Input'!$G8="","",'Energy Data Input'!$G8)</f>
        <v/>
      </c>
      <c r="G8" s="102">
        <f>IF('Energy Data Input'!$H8="","",'Energy Data Input'!$H8)</f>
        <v/>
      </c>
      <c r="H8" s="102">
        <f>IF('Energy Data Input'!$J8="","",'Energy Data Input'!$J8)</f>
        <v/>
      </c>
      <c r="I8" s="142">
        <f>IF('Energy Data Input'!$N8="","",'Energy Data Input'!$N8)</f>
        <v/>
      </c>
      <c r="J8" s="142">
        <f>IF($B8="","",IFERROR(AVERAGEIFS('Energy Data Input'!$N$6:$N$205,'Energy Data Input'!$B$6:$B$205,"&gt;="&amp;$B8-7,'Energy Data Input'!$B$6:$B$205,"&lt;"&amp;$B8,'Energy Data Input'!$H$6:$H$205,$G8,'Energy Data Input'!$J$6:$J$205,$H8),$I8))</f>
        <v/>
      </c>
      <c r="K8" s="143">
        <f>IFERROR(($I8-$J8)/$J8,"")</f>
        <v/>
      </c>
      <c r="L8" s="102">
        <f>IF('Energy Data Input'!$V8="","",'Energy Data Input'!$V8)</f>
        <v/>
      </c>
      <c r="M8" s="102">
        <f>IF($H8="","",IFERROR(VLOOKUP($H8,'Base Settings'!$A$13:$K$19,5,FALSE),0.2))</f>
        <v/>
      </c>
      <c r="N8" s="102">
        <f>IF($B8="","",IF('Energy Data Input'!$L8="","Missing reading",IF($I8=0,"Stalled reading / possibly offline",IF($K8&gt;=IFERROR(VLOOKUP($H8,'Base Settings'!$A$13:$K$19,6,FALSE),0.5),"Severe spike",IF($K8&gt;=$M8,"Usage spike",IF($K8&lt;=-IFERROR(VLOOKUP($H8,'Base Settings'!$A$13:$K$19,7,FALSE),0.3),"Usage drop",IF($L8&gt;IFERROR(VLOOKUP($H8,'Base Settings'!$A$13:$K$19,8,FALSE),999999),"Area intensity overrun","Normal")))))))</f>
        <v/>
      </c>
      <c r="O8" s="102">
        <f>IF($N8="","",IF($N8="Normal","Normal",IF(OR($N8="Severe spike",$K8&gt;=IFERROR(VLOOKUP($H8,'Base Settings'!$A$13:$K$19,6,FALSE),0.5)),"Severe",IF(OR($N8="Usage spike",$N8="Usage drop"),"High","Medium"))))</f>
        <v/>
      </c>
      <c r="P8" s="144">
        <f>IF(OR($N8="",$N8="Normal"),0,ABS($I8-$J8)*'Energy Data Input'!$O8)</f>
        <v/>
      </c>
      <c r="Q8" s="102">
        <f>IF($N8="Normal","",IF($N8="Stalled reading / possibly offline","核查表计通信/Electricity池/网关/阀门Status",IF(AND($H8="Water",$N8&lt;&gt;"Normal"),"检查管网、阀门、卫生间、冷却塔及夜间最小流量",IF(AND($H8="Electricity",$N8&lt;&gt;"Normal"),"检查空调、照明、生产设备、PeakOff-peak时段与待机功耗",IF(AND($H8="Gas",$N8&lt;&gt;"Normal"),"检查燃Gas阀门、锅炉/厨房设备与泄漏风险","核查设备工况、排班、产量与计量数据")))))</f>
        <v/>
      </c>
      <c r="R8" s="102">
        <f>IF($H8="","",IFERROR(VLOOKUP($H8,'Base Settings'!$A$13:$K$19,11,FALSE),"Energy management owner"))</f>
        <v/>
      </c>
      <c r="S8" s="102">
        <f>IF($N8="","",IF($N8="Normal","No action needed","Open"))</f>
        <v/>
      </c>
      <c r="T8" s="141">
        <f>IF(OR($B8="",$N8="Normal"),"",WORKDAY($B8,IF($O8="Severe",1,IF($O8="High",2,3))))</f>
        <v/>
      </c>
      <c r="U8" s="102">
        <f>IF($T8="","",IF(AND($S8&lt;&gt;"Closed",TODAY()&gt;$T8),"Overdue","Not overdue"))</f>
        <v/>
      </c>
      <c r="V8" s="102" t="n"/>
      <c r="W8" s="141" t="n"/>
      <c r="X8" s="102" t="n"/>
    </row>
    <row r="9">
      <c r="A9" s="102">
        <f>IF('Energy Data Input'!$A9="","","AL-"&amp;TEXT(ROW()-5,"0000"))</f>
        <v/>
      </c>
      <c r="B9" s="141">
        <f>IF('Energy Data Input'!$B9="","",'Energy Data Input'!$B9)</f>
        <v/>
      </c>
      <c r="C9" s="102">
        <f>IF('Energy Data Input'!$C9="","",'Energy Data Input'!$C9)</f>
        <v/>
      </c>
      <c r="D9" s="102">
        <f>IF('Energy Data Input'!$D9="","",'Energy Data Input'!$D9)</f>
        <v/>
      </c>
      <c r="E9" s="102">
        <f>IF('Energy Data Input'!$E9="","",'Energy Data Input'!$E9)</f>
        <v/>
      </c>
      <c r="F9" s="102">
        <f>IF('Energy Data Input'!$G9="","",'Energy Data Input'!$G9)</f>
        <v/>
      </c>
      <c r="G9" s="102">
        <f>IF('Energy Data Input'!$H9="","",'Energy Data Input'!$H9)</f>
        <v/>
      </c>
      <c r="H9" s="102">
        <f>IF('Energy Data Input'!$J9="","",'Energy Data Input'!$J9)</f>
        <v/>
      </c>
      <c r="I9" s="142">
        <f>IF('Energy Data Input'!$N9="","",'Energy Data Input'!$N9)</f>
        <v/>
      </c>
      <c r="J9" s="142">
        <f>IF($B9="","",IFERROR(AVERAGEIFS('Energy Data Input'!$N$6:$N$205,'Energy Data Input'!$B$6:$B$205,"&gt;="&amp;$B9-7,'Energy Data Input'!$B$6:$B$205,"&lt;"&amp;$B9,'Energy Data Input'!$H$6:$H$205,$G9,'Energy Data Input'!$J$6:$J$205,$H9),$I9))</f>
        <v/>
      </c>
      <c r="K9" s="143">
        <f>IFERROR(($I9-$J9)/$J9,"")</f>
        <v/>
      </c>
      <c r="L9" s="102">
        <f>IF('Energy Data Input'!$V9="","",'Energy Data Input'!$V9)</f>
        <v/>
      </c>
      <c r="M9" s="102">
        <f>IF($H9="","",IFERROR(VLOOKUP($H9,'Base Settings'!$A$13:$K$19,5,FALSE),0.2))</f>
        <v/>
      </c>
      <c r="N9" s="102">
        <f>IF($B9="","",IF('Energy Data Input'!$L9="","Missing reading",IF($I9=0,"Stalled reading / possibly offline",IF($K9&gt;=IFERROR(VLOOKUP($H9,'Base Settings'!$A$13:$K$19,6,FALSE),0.5),"Severe spike",IF($K9&gt;=$M9,"Usage spike",IF($K9&lt;=-IFERROR(VLOOKUP($H9,'Base Settings'!$A$13:$K$19,7,FALSE),0.3),"Usage drop",IF($L9&gt;IFERROR(VLOOKUP($H9,'Base Settings'!$A$13:$K$19,8,FALSE),999999),"Area intensity overrun","Normal")))))))</f>
        <v/>
      </c>
      <c r="O9" s="102">
        <f>IF($N9="","",IF($N9="Normal","Normal",IF(OR($N9="Severe spike",$K9&gt;=IFERROR(VLOOKUP($H9,'Base Settings'!$A$13:$K$19,6,FALSE),0.5)),"Severe",IF(OR($N9="Usage spike",$N9="Usage drop"),"High","Medium"))))</f>
        <v/>
      </c>
      <c r="P9" s="144">
        <f>IF(OR($N9="",$N9="Normal"),0,ABS($I9-$J9)*'Energy Data Input'!$O9)</f>
        <v/>
      </c>
      <c r="Q9" s="102">
        <f>IF($N9="Normal","",IF($N9="Stalled reading / possibly offline","核查表计通信/Electricity池/网关/阀门Status",IF(AND($H9="Water",$N9&lt;&gt;"Normal"),"检查管网、阀门、卫生间、冷却塔及夜间最小流量",IF(AND($H9="Electricity",$N9&lt;&gt;"Normal"),"检查空调、照明、生产设备、PeakOff-peak时段与待机功耗",IF(AND($H9="Gas",$N9&lt;&gt;"Normal"),"检查燃Gas阀门、锅炉/厨房设备与泄漏风险","核查设备工况、排班、产量与计量数据")))))</f>
        <v/>
      </c>
      <c r="R9" s="102">
        <f>IF($H9="","",IFERROR(VLOOKUP($H9,'Base Settings'!$A$13:$K$19,11,FALSE),"Energy management owner"))</f>
        <v/>
      </c>
      <c r="S9" s="102">
        <f>IF($N9="","",IF($N9="Normal","No action needed","Open"))</f>
        <v/>
      </c>
      <c r="T9" s="141">
        <f>IF(OR($B9="",$N9="Normal"),"",WORKDAY($B9,IF($O9="Severe",1,IF($O9="High",2,3))))</f>
        <v/>
      </c>
      <c r="U9" s="102">
        <f>IF($T9="","",IF(AND($S9&lt;&gt;"Closed",TODAY()&gt;$T9),"Overdue","Not overdue"))</f>
        <v/>
      </c>
      <c r="V9" s="102" t="n"/>
      <c r="W9" s="141" t="n"/>
      <c r="X9" s="102" t="n"/>
    </row>
    <row r="10">
      <c r="A10" s="102">
        <f>IF('Energy Data Input'!$A10="","","AL-"&amp;TEXT(ROW()-5,"0000"))</f>
        <v/>
      </c>
      <c r="B10" s="141">
        <f>IF('Energy Data Input'!$B10="","",'Energy Data Input'!$B10)</f>
        <v/>
      </c>
      <c r="C10" s="102">
        <f>IF('Energy Data Input'!$C10="","",'Energy Data Input'!$C10)</f>
        <v/>
      </c>
      <c r="D10" s="102">
        <f>IF('Energy Data Input'!$D10="","",'Energy Data Input'!$D10)</f>
        <v/>
      </c>
      <c r="E10" s="102">
        <f>IF('Energy Data Input'!$E10="","",'Energy Data Input'!$E10)</f>
        <v/>
      </c>
      <c r="F10" s="102">
        <f>IF('Energy Data Input'!$G10="","",'Energy Data Input'!$G10)</f>
        <v/>
      </c>
      <c r="G10" s="102">
        <f>IF('Energy Data Input'!$H10="","",'Energy Data Input'!$H10)</f>
        <v/>
      </c>
      <c r="H10" s="102">
        <f>IF('Energy Data Input'!$J10="","",'Energy Data Input'!$J10)</f>
        <v/>
      </c>
      <c r="I10" s="142">
        <f>IF('Energy Data Input'!$N10="","",'Energy Data Input'!$N10)</f>
        <v/>
      </c>
      <c r="J10" s="142">
        <f>IF($B10="","",IFERROR(AVERAGEIFS('Energy Data Input'!$N$6:$N$205,'Energy Data Input'!$B$6:$B$205,"&gt;="&amp;$B10-7,'Energy Data Input'!$B$6:$B$205,"&lt;"&amp;$B10,'Energy Data Input'!$H$6:$H$205,$G10,'Energy Data Input'!$J$6:$J$205,$H10),$I10))</f>
        <v/>
      </c>
      <c r="K10" s="143">
        <f>IFERROR(($I10-$J10)/$J10,"")</f>
        <v/>
      </c>
      <c r="L10" s="102">
        <f>IF('Energy Data Input'!$V10="","",'Energy Data Input'!$V10)</f>
        <v/>
      </c>
      <c r="M10" s="102">
        <f>IF($H10="","",IFERROR(VLOOKUP($H10,'Base Settings'!$A$13:$K$19,5,FALSE),0.2))</f>
        <v/>
      </c>
      <c r="N10" s="102">
        <f>IF($B10="","",IF('Energy Data Input'!$L10="","Missing reading",IF($I10=0,"Stalled reading / possibly offline",IF($K10&gt;=IFERROR(VLOOKUP($H10,'Base Settings'!$A$13:$K$19,6,FALSE),0.5),"Severe spike",IF($K10&gt;=$M10,"Usage spike",IF($K10&lt;=-IFERROR(VLOOKUP($H10,'Base Settings'!$A$13:$K$19,7,FALSE),0.3),"Usage drop",IF($L10&gt;IFERROR(VLOOKUP($H10,'Base Settings'!$A$13:$K$19,8,FALSE),999999),"Area intensity overrun","Normal")))))))</f>
        <v/>
      </c>
      <c r="O10" s="102">
        <f>IF($N10="","",IF($N10="Normal","Normal",IF(OR($N10="Severe spike",$K10&gt;=IFERROR(VLOOKUP($H10,'Base Settings'!$A$13:$K$19,6,FALSE),0.5)),"Severe",IF(OR($N10="Usage spike",$N10="Usage drop"),"High","Medium"))))</f>
        <v/>
      </c>
      <c r="P10" s="144">
        <f>IF(OR($N10="",$N10="Normal"),0,ABS($I10-$J10)*'Energy Data Input'!$O10)</f>
        <v/>
      </c>
      <c r="Q10" s="102">
        <f>IF($N10="Normal","",IF($N10="Stalled reading / possibly offline","核查表计通信/Electricity池/网关/阀门Status",IF(AND($H10="Water",$N10&lt;&gt;"Normal"),"检查管网、阀门、卫生间、冷却塔及夜间最小流量",IF(AND($H10="Electricity",$N10&lt;&gt;"Normal"),"检查空调、照明、生产设备、PeakOff-peak时段与待机功耗",IF(AND($H10="Gas",$N10&lt;&gt;"Normal"),"检查燃Gas阀门、锅炉/厨房设备与泄漏风险","核查设备工况、排班、产量与计量数据")))))</f>
        <v/>
      </c>
      <c r="R10" s="102">
        <f>IF($H10="","",IFERROR(VLOOKUP($H10,'Base Settings'!$A$13:$K$19,11,FALSE),"Energy management owner"))</f>
        <v/>
      </c>
      <c r="S10" s="102">
        <f>IF($N10="","",IF($N10="Normal","No action needed","Open"))</f>
        <v/>
      </c>
      <c r="T10" s="141">
        <f>IF(OR($B10="",$N10="Normal"),"",WORKDAY($B10,IF($O10="Severe",1,IF($O10="High",2,3))))</f>
        <v/>
      </c>
      <c r="U10" s="102">
        <f>IF($T10="","",IF(AND($S10&lt;&gt;"Closed",TODAY()&gt;$T10),"Overdue","Not overdue"))</f>
        <v/>
      </c>
      <c r="V10" s="102" t="n"/>
      <c r="W10" s="141" t="n"/>
      <c r="X10" s="102" t="n"/>
    </row>
    <row r="11">
      <c r="A11" s="102">
        <f>IF('Energy Data Input'!$A11="","","AL-"&amp;TEXT(ROW()-5,"0000"))</f>
        <v/>
      </c>
      <c r="B11" s="141">
        <f>IF('Energy Data Input'!$B11="","",'Energy Data Input'!$B11)</f>
        <v/>
      </c>
      <c r="C11" s="102">
        <f>IF('Energy Data Input'!$C11="","",'Energy Data Input'!$C11)</f>
        <v/>
      </c>
      <c r="D11" s="102">
        <f>IF('Energy Data Input'!$D11="","",'Energy Data Input'!$D11)</f>
        <v/>
      </c>
      <c r="E11" s="102">
        <f>IF('Energy Data Input'!$E11="","",'Energy Data Input'!$E11)</f>
        <v/>
      </c>
      <c r="F11" s="102">
        <f>IF('Energy Data Input'!$G11="","",'Energy Data Input'!$G11)</f>
        <v/>
      </c>
      <c r="G11" s="102">
        <f>IF('Energy Data Input'!$H11="","",'Energy Data Input'!$H11)</f>
        <v/>
      </c>
      <c r="H11" s="102">
        <f>IF('Energy Data Input'!$J11="","",'Energy Data Input'!$J11)</f>
        <v/>
      </c>
      <c r="I11" s="142">
        <f>IF('Energy Data Input'!$N11="","",'Energy Data Input'!$N11)</f>
        <v/>
      </c>
      <c r="J11" s="142">
        <f>IF($B11="","",IFERROR(AVERAGEIFS('Energy Data Input'!$N$6:$N$205,'Energy Data Input'!$B$6:$B$205,"&gt;="&amp;$B11-7,'Energy Data Input'!$B$6:$B$205,"&lt;"&amp;$B11,'Energy Data Input'!$H$6:$H$205,$G11,'Energy Data Input'!$J$6:$J$205,$H11),$I11))</f>
        <v/>
      </c>
      <c r="K11" s="143">
        <f>IFERROR(($I11-$J11)/$J11,"")</f>
        <v/>
      </c>
      <c r="L11" s="102">
        <f>IF('Energy Data Input'!$V11="","",'Energy Data Input'!$V11)</f>
        <v/>
      </c>
      <c r="M11" s="102">
        <f>IF($H11="","",IFERROR(VLOOKUP($H11,'Base Settings'!$A$13:$K$19,5,FALSE),0.2))</f>
        <v/>
      </c>
      <c r="N11" s="102">
        <f>IF($B11="","",IF('Energy Data Input'!$L11="","Missing reading",IF($I11=0,"Stalled reading / possibly offline",IF($K11&gt;=IFERROR(VLOOKUP($H11,'Base Settings'!$A$13:$K$19,6,FALSE),0.5),"Severe spike",IF($K11&gt;=$M11,"Usage spike",IF($K11&lt;=-IFERROR(VLOOKUP($H11,'Base Settings'!$A$13:$K$19,7,FALSE),0.3),"Usage drop",IF($L11&gt;IFERROR(VLOOKUP($H11,'Base Settings'!$A$13:$K$19,8,FALSE),999999),"Area intensity overrun","Normal")))))))</f>
        <v/>
      </c>
      <c r="O11" s="102">
        <f>IF($N11="","",IF($N11="Normal","Normal",IF(OR($N11="Severe spike",$K11&gt;=IFERROR(VLOOKUP($H11,'Base Settings'!$A$13:$K$19,6,FALSE),0.5)),"Severe",IF(OR($N11="Usage spike",$N11="Usage drop"),"High","Medium"))))</f>
        <v/>
      </c>
      <c r="P11" s="144">
        <f>IF(OR($N11="",$N11="Normal"),0,ABS($I11-$J11)*'Energy Data Input'!$O11)</f>
        <v/>
      </c>
      <c r="Q11" s="102">
        <f>IF($N11="Normal","",IF($N11="Stalled reading / possibly offline","核查表计通信/Electricity池/网关/阀门Status",IF(AND($H11="Water",$N11&lt;&gt;"Normal"),"检查管网、阀门、卫生间、冷却塔及夜间最小流量",IF(AND($H11="Electricity",$N11&lt;&gt;"Normal"),"检查空调、照明、生产设备、PeakOff-peak时段与待机功耗",IF(AND($H11="Gas",$N11&lt;&gt;"Normal"),"检查燃Gas阀门、锅炉/厨房设备与泄漏风险","核查设备工况、排班、产量与计量数据")))))</f>
        <v/>
      </c>
      <c r="R11" s="102">
        <f>IF($H11="","",IFERROR(VLOOKUP($H11,'Base Settings'!$A$13:$K$19,11,FALSE),"Energy management owner"))</f>
        <v/>
      </c>
      <c r="S11" s="102">
        <f>IF($N11="","",IF($N11="Normal","No action needed","Open"))</f>
        <v/>
      </c>
      <c r="T11" s="141">
        <f>IF(OR($B11="",$N11="Normal"),"",WORKDAY($B11,IF($O11="Severe",1,IF($O11="High",2,3))))</f>
        <v/>
      </c>
      <c r="U11" s="102">
        <f>IF($T11="","",IF(AND($S11&lt;&gt;"Closed",TODAY()&gt;$T11),"Overdue","Not overdue"))</f>
        <v/>
      </c>
      <c r="V11" s="102" t="n"/>
      <c r="W11" s="141" t="n"/>
      <c r="X11" s="102" t="n"/>
    </row>
    <row r="12">
      <c r="A12" s="102">
        <f>IF('Energy Data Input'!$A12="","","AL-"&amp;TEXT(ROW()-5,"0000"))</f>
        <v/>
      </c>
      <c r="B12" s="141">
        <f>IF('Energy Data Input'!$B12="","",'Energy Data Input'!$B12)</f>
        <v/>
      </c>
      <c r="C12" s="102">
        <f>IF('Energy Data Input'!$C12="","",'Energy Data Input'!$C12)</f>
        <v/>
      </c>
      <c r="D12" s="102">
        <f>IF('Energy Data Input'!$D12="","",'Energy Data Input'!$D12)</f>
        <v/>
      </c>
      <c r="E12" s="102">
        <f>IF('Energy Data Input'!$E12="","",'Energy Data Input'!$E12)</f>
        <v/>
      </c>
      <c r="F12" s="102">
        <f>IF('Energy Data Input'!$G12="","",'Energy Data Input'!$G12)</f>
        <v/>
      </c>
      <c r="G12" s="102">
        <f>IF('Energy Data Input'!$H12="","",'Energy Data Input'!$H12)</f>
        <v/>
      </c>
      <c r="H12" s="102">
        <f>IF('Energy Data Input'!$J12="","",'Energy Data Input'!$J12)</f>
        <v/>
      </c>
      <c r="I12" s="142">
        <f>IF('Energy Data Input'!$N12="","",'Energy Data Input'!$N12)</f>
        <v/>
      </c>
      <c r="J12" s="142">
        <f>IF($B12="","",IFERROR(AVERAGEIFS('Energy Data Input'!$N$6:$N$205,'Energy Data Input'!$B$6:$B$205,"&gt;="&amp;$B12-7,'Energy Data Input'!$B$6:$B$205,"&lt;"&amp;$B12,'Energy Data Input'!$H$6:$H$205,$G12,'Energy Data Input'!$J$6:$J$205,$H12),$I12))</f>
        <v/>
      </c>
      <c r="K12" s="143">
        <f>IFERROR(($I12-$J12)/$J12,"")</f>
        <v/>
      </c>
      <c r="L12" s="102">
        <f>IF('Energy Data Input'!$V12="","",'Energy Data Input'!$V12)</f>
        <v/>
      </c>
      <c r="M12" s="102">
        <f>IF($H12="","",IFERROR(VLOOKUP($H12,'Base Settings'!$A$13:$K$19,5,FALSE),0.2))</f>
        <v/>
      </c>
      <c r="N12" s="102">
        <f>IF($B12="","",IF('Energy Data Input'!$L12="","Missing reading",IF($I12=0,"Stalled reading / possibly offline",IF($K12&gt;=IFERROR(VLOOKUP($H12,'Base Settings'!$A$13:$K$19,6,FALSE),0.5),"Severe spike",IF($K12&gt;=$M12,"Usage spike",IF($K12&lt;=-IFERROR(VLOOKUP($H12,'Base Settings'!$A$13:$K$19,7,FALSE),0.3),"Usage drop",IF($L12&gt;IFERROR(VLOOKUP($H12,'Base Settings'!$A$13:$K$19,8,FALSE),999999),"Area intensity overrun","Normal")))))))</f>
        <v/>
      </c>
      <c r="O12" s="102">
        <f>IF($N12="","",IF($N12="Normal","Normal",IF(OR($N12="Severe spike",$K12&gt;=IFERROR(VLOOKUP($H12,'Base Settings'!$A$13:$K$19,6,FALSE),0.5)),"Severe",IF(OR($N12="Usage spike",$N12="Usage drop"),"High","Medium"))))</f>
        <v/>
      </c>
      <c r="P12" s="144">
        <f>IF(OR($N12="",$N12="Normal"),0,ABS($I12-$J12)*'Energy Data Input'!$O12)</f>
        <v/>
      </c>
      <c r="Q12" s="102">
        <f>IF($N12="Normal","",IF($N12="Stalled reading / possibly offline","核查表计通信/Electricity池/网关/阀门Status",IF(AND($H12="Water",$N12&lt;&gt;"Normal"),"检查管网、阀门、卫生间、冷却塔及夜间最小流量",IF(AND($H12="Electricity",$N12&lt;&gt;"Normal"),"检查空调、照明、生产设备、PeakOff-peak时段与待机功耗",IF(AND($H12="Gas",$N12&lt;&gt;"Normal"),"检查燃Gas阀门、锅炉/厨房设备与泄漏风险","核查设备工况、排班、产量与计量数据")))))</f>
        <v/>
      </c>
      <c r="R12" s="102">
        <f>IF($H12="","",IFERROR(VLOOKUP($H12,'Base Settings'!$A$13:$K$19,11,FALSE),"Energy management owner"))</f>
        <v/>
      </c>
      <c r="S12" s="102">
        <f>IF($N12="","",IF($N12="Normal","No action needed","Open"))</f>
        <v/>
      </c>
      <c r="T12" s="141">
        <f>IF(OR($B12="",$N12="Normal"),"",WORKDAY($B12,IF($O12="Severe",1,IF($O12="High",2,3))))</f>
        <v/>
      </c>
      <c r="U12" s="102">
        <f>IF($T12="","",IF(AND($S12&lt;&gt;"Closed",TODAY()&gt;$T12),"Overdue","Not overdue"))</f>
        <v/>
      </c>
      <c r="V12" s="102" t="n"/>
      <c r="W12" s="141" t="n"/>
      <c r="X12" s="102" t="n"/>
    </row>
    <row r="13">
      <c r="A13" s="102">
        <f>IF('Energy Data Input'!$A13="","","AL-"&amp;TEXT(ROW()-5,"0000"))</f>
        <v/>
      </c>
      <c r="B13" s="141">
        <f>IF('Energy Data Input'!$B13="","",'Energy Data Input'!$B13)</f>
        <v/>
      </c>
      <c r="C13" s="102">
        <f>IF('Energy Data Input'!$C13="","",'Energy Data Input'!$C13)</f>
        <v/>
      </c>
      <c r="D13" s="102">
        <f>IF('Energy Data Input'!$D13="","",'Energy Data Input'!$D13)</f>
        <v/>
      </c>
      <c r="E13" s="102">
        <f>IF('Energy Data Input'!$E13="","",'Energy Data Input'!$E13)</f>
        <v/>
      </c>
      <c r="F13" s="102">
        <f>IF('Energy Data Input'!$G13="","",'Energy Data Input'!$G13)</f>
        <v/>
      </c>
      <c r="G13" s="102">
        <f>IF('Energy Data Input'!$H13="","",'Energy Data Input'!$H13)</f>
        <v/>
      </c>
      <c r="H13" s="102">
        <f>IF('Energy Data Input'!$J13="","",'Energy Data Input'!$J13)</f>
        <v/>
      </c>
      <c r="I13" s="142">
        <f>IF('Energy Data Input'!$N13="","",'Energy Data Input'!$N13)</f>
        <v/>
      </c>
      <c r="J13" s="142">
        <f>IF($B13="","",IFERROR(AVERAGEIFS('Energy Data Input'!$N$6:$N$205,'Energy Data Input'!$B$6:$B$205,"&gt;="&amp;$B13-7,'Energy Data Input'!$B$6:$B$205,"&lt;"&amp;$B13,'Energy Data Input'!$H$6:$H$205,$G13,'Energy Data Input'!$J$6:$J$205,$H13),$I13))</f>
        <v/>
      </c>
      <c r="K13" s="143">
        <f>IFERROR(($I13-$J13)/$J13,"")</f>
        <v/>
      </c>
      <c r="L13" s="102">
        <f>IF('Energy Data Input'!$V13="","",'Energy Data Input'!$V13)</f>
        <v/>
      </c>
      <c r="M13" s="102">
        <f>IF($H13="","",IFERROR(VLOOKUP($H13,'Base Settings'!$A$13:$K$19,5,FALSE),0.2))</f>
        <v/>
      </c>
      <c r="N13" s="102">
        <f>IF($B13="","",IF('Energy Data Input'!$L13="","Missing reading",IF($I13=0,"Stalled reading / possibly offline",IF($K13&gt;=IFERROR(VLOOKUP($H13,'Base Settings'!$A$13:$K$19,6,FALSE),0.5),"Severe spike",IF($K13&gt;=$M13,"Usage spike",IF($K13&lt;=-IFERROR(VLOOKUP($H13,'Base Settings'!$A$13:$K$19,7,FALSE),0.3),"Usage drop",IF($L13&gt;IFERROR(VLOOKUP($H13,'Base Settings'!$A$13:$K$19,8,FALSE),999999),"Area intensity overrun","Normal")))))))</f>
        <v/>
      </c>
      <c r="O13" s="102">
        <f>IF($N13="","",IF($N13="Normal","Normal",IF(OR($N13="Severe spike",$K13&gt;=IFERROR(VLOOKUP($H13,'Base Settings'!$A$13:$K$19,6,FALSE),0.5)),"Severe",IF(OR($N13="Usage spike",$N13="Usage drop"),"High","Medium"))))</f>
        <v/>
      </c>
      <c r="P13" s="144">
        <f>IF(OR($N13="",$N13="Normal"),0,ABS($I13-$J13)*'Energy Data Input'!$O13)</f>
        <v/>
      </c>
      <c r="Q13" s="102">
        <f>IF($N13="Normal","",IF($N13="Stalled reading / possibly offline","核查表计通信/Electricity池/网关/阀门Status",IF(AND($H13="Water",$N13&lt;&gt;"Normal"),"检查管网、阀门、卫生间、冷却塔及夜间最小流量",IF(AND($H13="Electricity",$N13&lt;&gt;"Normal"),"检查空调、照明、生产设备、PeakOff-peak时段与待机功耗",IF(AND($H13="Gas",$N13&lt;&gt;"Normal"),"检查燃Gas阀门、锅炉/厨房设备与泄漏风险","核查设备工况、排班、产量与计量数据")))))</f>
        <v/>
      </c>
      <c r="R13" s="102">
        <f>IF($H13="","",IFERROR(VLOOKUP($H13,'Base Settings'!$A$13:$K$19,11,FALSE),"Energy management owner"))</f>
        <v/>
      </c>
      <c r="S13" s="102">
        <f>IF($N13="","",IF($N13="Normal","No action needed","Open"))</f>
        <v/>
      </c>
      <c r="T13" s="141">
        <f>IF(OR($B13="",$N13="Normal"),"",WORKDAY($B13,IF($O13="Severe",1,IF($O13="High",2,3))))</f>
        <v/>
      </c>
      <c r="U13" s="102">
        <f>IF($T13="","",IF(AND($S13&lt;&gt;"Closed",TODAY()&gt;$T13),"Overdue","Not overdue"))</f>
        <v/>
      </c>
      <c r="V13" s="102" t="n"/>
      <c r="W13" s="141" t="n"/>
      <c r="X13" s="102" t="n"/>
    </row>
    <row r="14">
      <c r="A14" s="102">
        <f>IF('Energy Data Input'!$A14="","","AL-"&amp;TEXT(ROW()-5,"0000"))</f>
        <v/>
      </c>
      <c r="B14" s="141">
        <f>IF('Energy Data Input'!$B14="","",'Energy Data Input'!$B14)</f>
        <v/>
      </c>
      <c r="C14" s="102">
        <f>IF('Energy Data Input'!$C14="","",'Energy Data Input'!$C14)</f>
        <v/>
      </c>
      <c r="D14" s="102">
        <f>IF('Energy Data Input'!$D14="","",'Energy Data Input'!$D14)</f>
        <v/>
      </c>
      <c r="E14" s="102">
        <f>IF('Energy Data Input'!$E14="","",'Energy Data Input'!$E14)</f>
        <v/>
      </c>
      <c r="F14" s="102">
        <f>IF('Energy Data Input'!$G14="","",'Energy Data Input'!$G14)</f>
        <v/>
      </c>
      <c r="G14" s="102">
        <f>IF('Energy Data Input'!$H14="","",'Energy Data Input'!$H14)</f>
        <v/>
      </c>
      <c r="H14" s="102">
        <f>IF('Energy Data Input'!$J14="","",'Energy Data Input'!$J14)</f>
        <v/>
      </c>
      <c r="I14" s="142">
        <f>IF('Energy Data Input'!$N14="","",'Energy Data Input'!$N14)</f>
        <v/>
      </c>
      <c r="J14" s="142">
        <f>IF($B14="","",IFERROR(AVERAGEIFS('Energy Data Input'!$N$6:$N$205,'Energy Data Input'!$B$6:$B$205,"&gt;="&amp;$B14-7,'Energy Data Input'!$B$6:$B$205,"&lt;"&amp;$B14,'Energy Data Input'!$H$6:$H$205,$G14,'Energy Data Input'!$J$6:$J$205,$H14),$I14))</f>
        <v/>
      </c>
      <c r="K14" s="143">
        <f>IFERROR(($I14-$J14)/$J14,"")</f>
        <v/>
      </c>
      <c r="L14" s="102">
        <f>IF('Energy Data Input'!$V14="","",'Energy Data Input'!$V14)</f>
        <v/>
      </c>
      <c r="M14" s="102">
        <f>IF($H14="","",IFERROR(VLOOKUP($H14,'Base Settings'!$A$13:$K$19,5,FALSE),0.2))</f>
        <v/>
      </c>
      <c r="N14" s="102">
        <f>IF($B14="","",IF('Energy Data Input'!$L14="","Missing reading",IF($I14=0,"Stalled reading / possibly offline",IF($K14&gt;=IFERROR(VLOOKUP($H14,'Base Settings'!$A$13:$K$19,6,FALSE),0.5),"Severe spike",IF($K14&gt;=$M14,"Usage spike",IF($K14&lt;=-IFERROR(VLOOKUP($H14,'Base Settings'!$A$13:$K$19,7,FALSE),0.3),"Usage drop",IF($L14&gt;IFERROR(VLOOKUP($H14,'Base Settings'!$A$13:$K$19,8,FALSE),999999),"Area intensity overrun","Normal")))))))</f>
        <v/>
      </c>
      <c r="O14" s="102">
        <f>IF($N14="","",IF($N14="Normal","Normal",IF(OR($N14="Severe spike",$K14&gt;=IFERROR(VLOOKUP($H14,'Base Settings'!$A$13:$K$19,6,FALSE),0.5)),"Severe",IF(OR($N14="Usage spike",$N14="Usage drop"),"High","Medium"))))</f>
        <v/>
      </c>
      <c r="P14" s="144">
        <f>IF(OR($N14="",$N14="Normal"),0,ABS($I14-$J14)*'Energy Data Input'!$O14)</f>
        <v/>
      </c>
      <c r="Q14" s="102">
        <f>IF($N14="Normal","",IF($N14="Stalled reading / possibly offline","核查表计通信/Electricity池/网关/阀门Status",IF(AND($H14="Water",$N14&lt;&gt;"Normal"),"检查管网、阀门、卫生间、冷却塔及夜间最小流量",IF(AND($H14="Electricity",$N14&lt;&gt;"Normal"),"检查空调、照明、生产设备、PeakOff-peak时段与待机功耗",IF(AND($H14="Gas",$N14&lt;&gt;"Normal"),"检查燃Gas阀门、锅炉/厨房设备与泄漏风险","核查设备工况、排班、产量与计量数据")))))</f>
        <v/>
      </c>
      <c r="R14" s="102">
        <f>IF($H14="","",IFERROR(VLOOKUP($H14,'Base Settings'!$A$13:$K$19,11,FALSE),"Energy management owner"))</f>
        <v/>
      </c>
      <c r="S14" s="102">
        <f>IF($N14="","",IF($N14="Normal","No action needed","Open"))</f>
        <v/>
      </c>
      <c r="T14" s="141">
        <f>IF(OR($B14="",$N14="Normal"),"",WORKDAY($B14,IF($O14="Severe",1,IF($O14="High",2,3))))</f>
        <v/>
      </c>
      <c r="U14" s="102">
        <f>IF($T14="","",IF(AND($S14&lt;&gt;"Closed",TODAY()&gt;$T14),"Overdue","Not overdue"))</f>
        <v/>
      </c>
      <c r="V14" s="102" t="n"/>
      <c r="W14" s="141" t="n"/>
      <c r="X14" s="102" t="n"/>
    </row>
    <row r="15">
      <c r="A15" s="102">
        <f>IF('Energy Data Input'!$A15="","","AL-"&amp;TEXT(ROW()-5,"0000"))</f>
        <v/>
      </c>
      <c r="B15" s="141">
        <f>IF('Energy Data Input'!$B15="","",'Energy Data Input'!$B15)</f>
        <v/>
      </c>
      <c r="C15" s="102">
        <f>IF('Energy Data Input'!$C15="","",'Energy Data Input'!$C15)</f>
        <v/>
      </c>
      <c r="D15" s="102">
        <f>IF('Energy Data Input'!$D15="","",'Energy Data Input'!$D15)</f>
        <v/>
      </c>
      <c r="E15" s="102">
        <f>IF('Energy Data Input'!$E15="","",'Energy Data Input'!$E15)</f>
        <v/>
      </c>
      <c r="F15" s="102">
        <f>IF('Energy Data Input'!$G15="","",'Energy Data Input'!$G15)</f>
        <v/>
      </c>
      <c r="G15" s="102">
        <f>IF('Energy Data Input'!$H15="","",'Energy Data Input'!$H15)</f>
        <v/>
      </c>
      <c r="H15" s="102">
        <f>IF('Energy Data Input'!$J15="","",'Energy Data Input'!$J15)</f>
        <v/>
      </c>
      <c r="I15" s="142">
        <f>IF('Energy Data Input'!$N15="","",'Energy Data Input'!$N15)</f>
        <v/>
      </c>
      <c r="J15" s="142">
        <f>IF($B15="","",IFERROR(AVERAGEIFS('Energy Data Input'!$N$6:$N$205,'Energy Data Input'!$B$6:$B$205,"&gt;="&amp;$B15-7,'Energy Data Input'!$B$6:$B$205,"&lt;"&amp;$B15,'Energy Data Input'!$H$6:$H$205,$G15,'Energy Data Input'!$J$6:$J$205,$H15),$I15))</f>
        <v/>
      </c>
      <c r="K15" s="143">
        <f>IFERROR(($I15-$J15)/$J15,"")</f>
        <v/>
      </c>
      <c r="L15" s="102">
        <f>IF('Energy Data Input'!$V15="","",'Energy Data Input'!$V15)</f>
        <v/>
      </c>
      <c r="M15" s="102">
        <f>IF($H15="","",IFERROR(VLOOKUP($H15,'Base Settings'!$A$13:$K$19,5,FALSE),0.2))</f>
        <v/>
      </c>
      <c r="N15" s="102">
        <f>IF($B15="","",IF('Energy Data Input'!$L15="","Missing reading",IF($I15=0,"Stalled reading / possibly offline",IF($K15&gt;=IFERROR(VLOOKUP($H15,'Base Settings'!$A$13:$K$19,6,FALSE),0.5),"Severe spike",IF($K15&gt;=$M15,"Usage spike",IF($K15&lt;=-IFERROR(VLOOKUP($H15,'Base Settings'!$A$13:$K$19,7,FALSE),0.3),"Usage drop",IF($L15&gt;IFERROR(VLOOKUP($H15,'Base Settings'!$A$13:$K$19,8,FALSE),999999),"Area intensity overrun","Normal")))))))</f>
        <v/>
      </c>
      <c r="O15" s="102">
        <f>IF($N15="","",IF($N15="Normal","Normal",IF(OR($N15="Severe spike",$K15&gt;=IFERROR(VLOOKUP($H15,'Base Settings'!$A$13:$K$19,6,FALSE),0.5)),"Severe",IF(OR($N15="Usage spike",$N15="Usage drop"),"High","Medium"))))</f>
        <v/>
      </c>
      <c r="P15" s="144">
        <f>IF(OR($N15="",$N15="Normal"),0,ABS($I15-$J15)*'Energy Data Input'!$O15)</f>
        <v/>
      </c>
      <c r="Q15" s="102">
        <f>IF($N15="Normal","",IF($N15="Stalled reading / possibly offline","核查表计通信/Electricity池/网关/阀门Status",IF(AND($H15="Water",$N15&lt;&gt;"Normal"),"检查管网、阀门、卫生间、冷却塔及夜间最小流量",IF(AND($H15="Electricity",$N15&lt;&gt;"Normal"),"检查空调、照明、生产设备、PeakOff-peak时段与待机功耗",IF(AND($H15="Gas",$N15&lt;&gt;"Normal"),"检查燃Gas阀门、锅炉/厨房设备与泄漏风险","核查设备工况、排班、产量与计量数据")))))</f>
        <v/>
      </c>
      <c r="R15" s="102">
        <f>IF($H15="","",IFERROR(VLOOKUP($H15,'Base Settings'!$A$13:$K$19,11,FALSE),"Energy management owner"))</f>
        <v/>
      </c>
      <c r="S15" s="102">
        <f>IF($N15="","",IF($N15="Normal","No action needed","Open"))</f>
        <v/>
      </c>
      <c r="T15" s="141">
        <f>IF(OR($B15="",$N15="Normal"),"",WORKDAY($B15,IF($O15="Severe",1,IF($O15="High",2,3))))</f>
        <v/>
      </c>
      <c r="U15" s="102">
        <f>IF($T15="","",IF(AND($S15&lt;&gt;"Closed",TODAY()&gt;$T15),"Overdue","Not overdue"))</f>
        <v/>
      </c>
      <c r="V15" s="102" t="n"/>
      <c r="W15" s="141" t="n"/>
      <c r="X15" s="102" t="n"/>
    </row>
    <row r="16">
      <c r="A16" s="102">
        <f>IF('Energy Data Input'!$A16="","","AL-"&amp;TEXT(ROW()-5,"0000"))</f>
        <v/>
      </c>
      <c r="B16" s="141">
        <f>IF('Energy Data Input'!$B16="","",'Energy Data Input'!$B16)</f>
        <v/>
      </c>
      <c r="C16" s="102">
        <f>IF('Energy Data Input'!$C16="","",'Energy Data Input'!$C16)</f>
        <v/>
      </c>
      <c r="D16" s="102">
        <f>IF('Energy Data Input'!$D16="","",'Energy Data Input'!$D16)</f>
        <v/>
      </c>
      <c r="E16" s="102">
        <f>IF('Energy Data Input'!$E16="","",'Energy Data Input'!$E16)</f>
        <v/>
      </c>
      <c r="F16" s="102">
        <f>IF('Energy Data Input'!$G16="","",'Energy Data Input'!$G16)</f>
        <v/>
      </c>
      <c r="G16" s="102">
        <f>IF('Energy Data Input'!$H16="","",'Energy Data Input'!$H16)</f>
        <v/>
      </c>
      <c r="H16" s="102">
        <f>IF('Energy Data Input'!$J16="","",'Energy Data Input'!$J16)</f>
        <v/>
      </c>
      <c r="I16" s="142">
        <f>IF('Energy Data Input'!$N16="","",'Energy Data Input'!$N16)</f>
        <v/>
      </c>
      <c r="J16" s="142">
        <f>IF($B16="","",IFERROR(AVERAGEIFS('Energy Data Input'!$N$6:$N$205,'Energy Data Input'!$B$6:$B$205,"&gt;="&amp;$B16-7,'Energy Data Input'!$B$6:$B$205,"&lt;"&amp;$B16,'Energy Data Input'!$H$6:$H$205,$G16,'Energy Data Input'!$J$6:$J$205,$H16),$I16))</f>
        <v/>
      </c>
      <c r="K16" s="143">
        <f>IFERROR(($I16-$J16)/$J16,"")</f>
        <v/>
      </c>
      <c r="L16" s="102">
        <f>IF('Energy Data Input'!$V16="","",'Energy Data Input'!$V16)</f>
        <v/>
      </c>
      <c r="M16" s="102">
        <f>IF($H16="","",IFERROR(VLOOKUP($H16,'Base Settings'!$A$13:$K$19,5,FALSE),0.2))</f>
        <v/>
      </c>
      <c r="N16" s="102">
        <f>IF($B16="","",IF('Energy Data Input'!$L16="","Missing reading",IF($I16=0,"Stalled reading / possibly offline",IF($K16&gt;=IFERROR(VLOOKUP($H16,'Base Settings'!$A$13:$K$19,6,FALSE),0.5),"Severe spike",IF($K16&gt;=$M16,"Usage spike",IF($K16&lt;=-IFERROR(VLOOKUP($H16,'Base Settings'!$A$13:$K$19,7,FALSE),0.3),"Usage drop",IF($L16&gt;IFERROR(VLOOKUP($H16,'Base Settings'!$A$13:$K$19,8,FALSE),999999),"Area intensity overrun","Normal")))))))</f>
        <v/>
      </c>
      <c r="O16" s="102">
        <f>IF($N16="","",IF($N16="Normal","Normal",IF(OR($N16="Severe spike",$K16&gt;=IFERROR(VLOOKUP($H16,'Base Settings'!$A$13:$K$19,6,FALSE),0.5)),"Severe",IF(OR($N16="Usage spike",$N16="Usage drop"),"High","Medium"))))</f>
        <v/>
      </c>
      <c r="P16" s="144">
        <f>IF(OR($N16="",$N16="Normal"),0,ABS($I16-$J16)*'Energy Data Input'!$O16)</f>
        <v/>
      </c>
      <c r="Q16" s="102">
        <f>IF($N16="Normal","",IF($N16="Stalled reading / possibly offline","核查表计通信/Electricity池/网关/阀门Status",IF(AND($H16="Water",$N16&lt;&gt;"Normal"),"检查管网、阀门、卫生间、冷却塔及夜间最小流量",IF(AND($H16="Electricity",$N16&lt;&gt;"Normal"),"检查空调、照明、生产设备、PeakOff-peak时段与待机功耗",IF(AND($H16="Gas",$N16&lt;&gt;"Normal"),"检查燃Gas阀门、锅炉/厨房设备与泄漏风险","核查设备工况、排班、产量与计量数据")))))</f>
        <v/>
      </c>
      <c r="R16" s="102">
        <f>IF($H16="","",IFERROR(VLOOKUP($H16,'Base Settings'!$A$13:$K$19,11,FALSE),"Energy management owner"))</f>
        <v/>
      </c>
      <c r="S16" s="102">
        <f>IF($N16="","",IF($N16="Normal","No action needed","Open"))</f>
        <v/>
      </c>
      <c r="T16" s="141">
        <f>IF(OR($B16="",$N16="Normal"),"",WORKDAY($B16,IF($O16="Severe",1,IF($O16="High",2,3))))</f>
        <v/>
      </c>
      <c r="U16" s="102">
        <f>IF($T16="","",IF(AND($S16&lt;&gt;"Closed",TODAY()&gt;$T16),"Overdue","Not overdue"))</f>
        <v/>
      </c>
      <c r="V16" s="102" t="n"/>
      <c r="W16" s="141" t="n"/>
      <c r="X16" s="102" t="n"/>
    </row>
    <row r="17">
      <c r="A17" s="102">
        <f>IF('Energy Data Input'!$A17="","","AL-"&amp;TEXT(ROW()-5,"0000"))</f>
        <v/>
      </c>
      <c r="B17" s="141">
        <f>IF('Energy Data Input'!$B17="","",'Energy Data Input'!$B17)</f>
        <v/>
      </c>
      <c r="C17" s="102">
        <f>IF('Energy Data Input'!$C17="","",'Energy Data Input'!$C17)</f>
        <v/>
      </c>
      <c r="D17" s="102">
        <f>IF('Energy Data Input'!$D17="","",'Energy Data Input'!$D17)</f>
        <v/>
      </c>
      <c r="E17" s="102">
        <f>IF('Energy Data Input'!$E17="","",'Energy Data Input'!$E17)</f>
        <v/>
      </c>
      <c r="F17" s="102">
        <f>IF('Energy Data Input'!$G17="","",'Energy Data Input'!$G17)</f>
        <v/>
      </c>
      <c r="G17" s="102">
        <f>IF('Energy Data Input'!$H17="","",'Energy Data Input'!$H17)</f>
        <v/>
      </c>
      <c r="H17" s="102">
        <f>IF('Energy Data Input'!$J17="","",'Energy Data Input'!$J17)</f>
        <v/>
      </c>
      <c r="I17" s="142">
        <f>IF('Energy Data Input'!$N17="","",'Energy Data Input'!$N17)</f>
        <v/>
      </c>
      <c r="J17" s="142">
        <f>IF($B17="","",IFERROR(AVERAGEIFS('Energy Data Input'!$N$6:$N$205,'Energy Data Input'!$B$6:$B$205,"&gt;="&amp;$B17-7,'Energy Data Input'!$B$6:$B$205,"&lt;"&amp;$B17,'Energy Data Input'!$H$6:$H$205,$G17,'Energy Data Input'!$J$6:$J$205,$H17),$I17))</f>
        <v/>
      </c>
      <c r="K17" s="143">
        <f>IFERROR(($I17-$J17)/$J17,"")</f>
        <v/>
      </c>
      <c r="L17" s="102">
        <f>IF('Energy Data Input'!$V17="","",'Energy Data Input'!$V17)</f>
        <v/>
      </c>
      <c r="M17" s="102">
        <f>IF($H17="","",IFERROR(VLOOKUP($H17,'Base Settings'!$A$13:$K$19,5,FALSE),0.2))</f>
        <v/>
      </c>
      <c r="N17" s="102">
        <f>IF($B17="","",IF('Energy Data Input'!$L17="","Missing reading",IF($I17=0,"Stalled reading / possibly offline",IF($K17&gt;=IFERROR(VLOOKUP($H17,'Base Settings'!$A$13:$K$19,6,FALSE),0.5),"Severe spike",IF($K17&gt;=$M17,"Usage spike",IF($K17&lt;=-IFERROR(VLOOKUP($H17,'Base Settings'!$A$13:$K$19,7,FALSE),0.3),"Usage drop",IF($L17&gt;IFERROR(VLOOKUP($H17,'Base Settings'!$A$13:$K$19,8,FALSE),999999),"Area intensity overrun","Normal")))))))</f>
        <v/>
      </c>
      <c r="O17" s="102">
        <f>IF($N17="","",IF($N17="Normal","Normal",IF(OR($N17="Severe spike",$K17&gt;=IFERROR(VLOOKUP($H17,'Base Settings'!$A$13:$K$19,6,FALSE),0.5)),"Severe",IF(OR($N17="Usage spike",$N17="Usage drop"),"High","Medium"))))</f>
        <v/>
      </c>
      <c r="P17" s="144">
        <f>IF(OR($N17="",$N17="Normal"),0,ABS($I17-$J17)*'Energy Data Input'!$O17)</f>
        <v/>
      </c>
      <c r="Q17" s="102">
        <f>IF($N17="Normal","",IF($N17="Stalled reading / possibly offline","核查表计通信/Electricity池/网关/阀门Status",IF(AND($H17="Water",$N17&lt;&gt;"Normal"),"检查管网、阀门、卫生间、冷却塔及夜间最小流量",IF(AND($H17="Electricity",$N17&lt;&gt;"Normal"),"检查空调、照明、生产设备、PeakOff-peak时段与待机功耗",IF(AND($H17="Gas",$N17&lt;&gt;"Normal"),"检查燃Gas阀门、锅炉/厨房设备与泄漏风险","核查设备工况、排班、产量与计量数据")))))</f>
        <v/>
      </c>
      <c r="R17" s="102">
        <f>IF($H17="","",IFERROR(VLOOKUP($H17,'Base Settings'!$A$13:$K$19,11,FALSE),"Energy management owner"))</f>
        <v/>
      </c>
      <c r="S17" s="102">
        <f>IF($N17="","",IF($N17="Normal","No action needed","Open"))</f>
        <v/>
      </c>
      <c r="T17" s="141">
        <f>IF(OR($B17="",$N17="Normal"),"",WORKDAY($B17,IF($O17="Severe",1,IF($O17="High",2,3))))</f>
        <v/>
      </c>
      <c r="U17" s="102">
        <f>IF($T17="","",IF(AND($S17&lt;&gt;"Closed",TODAY()&gt;$T17),"Overdue","Not overdue"))</f>
        <v/>
      </c>
      <c r="V17" s="102" t="n"/>
      <c r="W17" s="141" t="n"/>
      <c r="X17" s="102" t="n"/>
    </row>
    <row r="18">
      <c r="A18" s="102">
        <f>IF('Energy Data Input'!$A18="","","AL-"&amp;TEXT(ROW()-5,"0000"))</f>
        <v/>
      </c>
      <c r="B18" s="141">
        <f>IF('Energy Data Input'!$B18="","",'Energy Data Input'!$B18)</f>
        <v/>
      </c>
      <c r="C18" s="102">
        <f>IF('Energy Data Input'!$C18="","",'Energy Data Input'!$C18)</f>
        <v/>
      </c>
      <c r="D18" s="102">
        <f>IF('Energy Data Input'!$D18="","",'Energy Data Input'!$D18)</f>
        <v/>
      </c>
      <c r="E18" s="102">
        <f>IF('Energy Data Input'!$E18="","",'Energy Data Input'!$E18)</f>
        <v/>
      </c>
      <c r="F18" s="102">
        <f>IF('Energy Data Input'!$G18="","",'Energy Data Input'!$G18)</f>
        <v/>
      </c>
      <c r="G18" s="102">
        <f>IF('Energy Data Input'!$H18="","",'Energy Data Input'!$H18)</f>
        <v/>
      </c>
      <c r="H18" s="102">
        <f>IF('Energy Data Input'!$J18="","",'Energy Data Input'!$J18)</f>
        <v/>
      </c>
      <c r="I18" s="142">
        <f>IF('Energy Data Input'!$N18="","",'Energy Data Input'!$N18)</f>
        <v/>
      </c>
      <c r="J18" s="142">
        <f>IF($B18="","",IFERROR(AVERAGEIFS('Energy Data Input'!$N$6:$N$205,'Energy Data Input'!$B$6:$B$205,"&gt;="&amp;$B18-7,'Energy Data Input'!$B$6:$B$205,"&lt;"&amp;$B18,'Energy Data Input'!$H$6:$H$205,$G18,'Energy Data Input'!$J$6:$J$205,$H18),$I18))</f>
        <v/>
      </c>
      <c r="K18" s="143">
        <f>IFERROR(($I18-$J18)/$J18,"")</f>
        <v/>
      </c>
      <c r="L18" s="102">
        <f>IF('Energy Data Input'!$V18="","",'Energy Data Input'!$V18)</f>
        <v/>
      </c>
      <c r="M18" s="102">
        <f>IF($H18="","",IFERROR(VLOOKUP($H18,'Base Settings'!$A$13:$K$19,5,FALSE),0.2))</f>
        <v/>
      </c>
      <c r="N18" s="102">
        <f>IF($B18="","",IF('Energy Data Input'!$L18="","Missing reading",IF($I18=0,"Stalled reading / possibly offline",IF($K18&gt;=IFERROR(VLOOKUP($H18,'Base Settings'!$A$13:$K$19,6,FALSE),0.5),"Severe spike",IF($K18&gt;=$M18,"Usage spike",IF($K18&lt;=-IFERROR(VLOOKUP($H18,'Base Settings'!$A$13:$K$19,7,FALSE),0.3),"Usage drop",IF($L18&gt;IFERROR(VLOOKUP($H18,'Base Settings'!$A$13:$K$19,8,FALSE),999999),"Area intensity overrun","Normal")))))))</f>
        <v/>
      </c>
      <c r="O18" s="102">
        <f>IF($N18="","",IF($N18="Normal","Normal",IF(OR($N18="Severe spike",$K18&gt;=IFERROR(VLOOKUP($H18,'Base Settings'!$A$13:$K$19,6,FALSE),0.5)),"Severe",IF(OR($N18="Usage spike",$N18="Usage drop"),"High","Medium"))))</f>
        <v/>
      </c>
      <c r="P18" s="144">
        <f>IF(OR($N18="",$N18="Normal"),0,ABS($I18-$J18)*'Energy Data Input'!$O18)</f>
        <v/>
      </c>
      <c r="Q18" s="102">
        <f>IF($N18="Normal","",IF($N18="Stalled reading / possibly offline","核查表计通信/Electricity池/网关/阀门Status",IF(AND($H18="Water",$N18&lt;&gt;"Normal"),"检查管网、阀门、卫生间、冷却塔及夜间最小流量",IF(AND($H18="Electricity",$N18&lt;&gt;"Normal"),"检查空调、照明、生产设备、PeakOff-peak时段与待机功耗",IF(AND($H18="Gas",$N18&lt;&gt;"Normal"),"检查燃Gas阀门、锅炉/厨房设备与泄漏风险","核查设备工况、排班、产量与计量数据")))))</f>
        <v/>
      </c>
      <c r="R18" s="102">
        <f>IF($H18="","",IFERROR(VLOOKUP($H18,'Base Settings'!$A$13:$K$19,11,FALSE),"Energy management owner"))</f>
        <v/>
      </c>
      <c r="S18" s="102">
        <f>IF($N18="","",IF($N18="Normal","No action needed","Open"))</f>
        <v/>
      </c>
      <c r="T18" s="141">
        <f>IF(OR($B18="",$N18="Normal"),"",WORKDAY($B18,IF($O18="Severe",1,IF($O18="High",2,3))))</f>
        <v/>
      </c>
      <c r="U18" s="102">
        <f>IF($T18="","",IF(AND($S18&lt;&gt;"Closed",TODAY()&gt;$T18),"Overdue","Not overdue"))</f>
        <v/>
      </c>
      <c r="V18" s="102" t="n"/>
      <c r="W18" s="141" t="n"/>
      <c r="X18" s="102" t="n"/>
    </row>
    <row r="19">
      <c r="A19" s="102">
        <f>IF('Energy Data Input'!$A19="","","AL-"&amp;TEXT(ROW()-5,"0000"))</f>
        <v/>
      </c>
      <c r="B19" s="141">
        <f>IF('Energy Data Input'!$B19="","",'Energy Data Input'!$B19)</f>
        <v/>
      </c>
      <c r="C19" s="102">
        <f>IF('Energy Data Input'!$C19="","",'Energy Data Input'!$C19)</f>
        <v/>
      </c>
      <c r="D19" s="102">
        <f>IF('Energy Data Input'!$D19="","",'Energy Data Input'!$D19)</f>
        <v/>
      </c>
      <c r="E19" s="102">
        <f>IF('Energy Data Input'!$E19="","",'Energy Data Input'!$E19)</f>
        <v/>
      </c>
      <c r="F19" s="102">
        <f>IF('Energy Data Input'!$G19="","",'Energy Data Input'!$G19)</f>
        <v/>
      </c>
      <c r="G19" s="102">
        <f>IF('Energy Data Input'!$H19="","",'Energy Data Input'!$H19)</f>
        <v/>
      </c>
      <c r="H19" s="102">
        <f>IF('Energy Data Input'!$J19="","",'Energy Data Input'!$J19)</f>
        <v/>
      </c>
      <c r="I19" s="142">
        <f>IF('Energy Data Input'!$N19="","",'Energy Data Input'!$N19)</f>
        <v/>
      </c>
      <c r="J19" s="142">
        <f>IF($B19="","",IFERROR(AVERAGEIFS('Energy Data Input'!$N$6:$N$205,'Energy Data Input'!$B$6:$B$205,"&gt;="&amp;$B19-7,'Energy Data Input'!$B$6:$B$205,"&lt;"&amp;$B19,'Energy Data Input'!$H$6:$H$205,$G19,'Energy Data Input'!$J$6:$J$205,$H19),$I19))</f>
        <v/>
      </c>
      <c r="K19" s="143">
        <f>IFERROR(($I19-$J19)/$J19,"")</f>
        <v/>
      </c>
      <c r="L19" s="102">
        <f>IF('Energy Data Input'!$V19="","",'Energy Data Input'!$V19)</f>
        <v/>
      </c>
      <c r="M19" s="102">
        <f>IF($H19="","",IFERROR(VLOOKUP($H19,'Base Settings'!$A$13:$K$19,5,FALSE),0.2))</f>
        <v/>
      </c>
      <c r="N19" s="102">
        <f>IF($B19="","",IF('Energy Data Input'!$L19="","Missing reading",IF($I19=0,"Stalled reading / possibly offline",IF($K19&gt;=IFERROR(VLOOKUP($H19,'Base Settings'!$A$13:$K$19,6,FALSE),0.5),"Severe spike",IF($K19&gt;=$M19,"Usage spike",IF($K19&lt;=-IFERROR(VLOOKUP($H19,'Base Settings'!$A$13:$K$19,7,FALSE),0.3),"Usage drop",IF($L19&gt;IFERROR(VLOOKUP($H19,'Base Settings'!$A$13:$K$19,8,FALSE),999999),"Area intensity overrun","Normal")))))))</f>
        <v/>
      </c>
      <c r="O19" s="102">
        <f>IF($N19="","",IF($N19="Normal","Normal",IF(OR($N19="Severe spike",$K19&gt;=IFERROR(VLOOKUP($H19,'Base Settings'!$A$13:$K$19,6,FALSE),0.5)),"Severe",IF(OR($N19="Usage spike",$N19="Usage drop"),"High","Medium"))))</f>
        <v/>
      </c>
      <c r="P19" s="144">
        <f>IF(OR($N19="",$N19="Normal"),0,ABS($I19-$J19)*'Energy Data Input'!$O19)</f>
        <v/>
      </c>
      <c r="Q19" s="102">
        <f>IF($N19="Normal","",IF($N19="Stalled reading / possibly offline","核查表计通信/Electricity池/网关/阀门Status",IF(AND($H19="Water",$N19&lt;&gt;"Normal"),"检查管网、阀门、卫生间、冷却塔及夜间最小流量",IF(AND($H19="Electricity",$N19&lt;&gt;"Normal"),"检查空调、照明、生产设备、PeakOff-peak时段与待机功耗",IF(AND($H19="Gas",$N19&lt;&gt;"Normal"),"检查燃Gas阀门、锅炉/厨房设备与泄漏风险","核查设备工况、排班、产量与计量数据")))))</f>
        <v/>
      </c>
      <c r="R19" s="102">
        <f>IF($H19="","",IFERROR(VLOOKUP($H19,'Base Settings'!$A$13:$K$19,11,FALSE),"Energy management owner"))</f>
        <v/>
      </c>
      <c r="S19" s="102">
        <f>IF($N19="","",IF($N19="Normal","No action needed","Open"))</f>
        <v/>
      </c>
      <c r="T19" s="141">
        <f>IF(OR($B19="",$N19="Normal"),"",WORKDAY($B19,IF($O19="Severe",1,IF($O19="High",2,3))))</f>
        <v/>
      </c>
      <c r="U19" s="102">
        <f>IF($T19="","",IF(AND($S19&lt;&gt;"Closed",TODAY()&gt;$T19),"Overdue","Not overdue"))</f>
        <v/>
      </c>
      <c r="V19" s="102" t="n"/>
      <c r="W19" s="141" t="n"/>
      <c r="X19" s="102" t="n"/>
    </row>
    <row r="20">
      <c r="A20" s="102">
        <f>IF('Energy Data Input'!$A20="","","AL-"&amp;TEXT(ROW()-5,"0000"))</f>
        <v/>
      </c>
      <c r="B20" s="141">
        <f>IF('Energy Data Input'!$B20="","",'Energy Data Input'!$B20)</f>
        <v/>
      </c>
      <c r="C20" s="102">
        <f>IF('Energy Data Input'!$C20="","",'Energy Data Input'!$C20)</f>
        <v/>
      </c>
      <c r="D20" s="102">
        <f>IF('Energy Data Input'!$D20="","",'Energy Data Input'!$D20)</f>
        <v/>
      </c>
      <c r="E20" s="102">
        <f>IF('Energy Data Input'!$E20="","",'Energy Data Input'!$E20)</f>
        <v/>
      </c>
      <c r="F20" s="102">
        <f>IF('Energy Data Input'!$G20="","",'Energy Data Input'!$G20)</f>
        <v/>
      </c>
      <c r="G20" s="102">
        <f>IF('Energy Data Input'!$H20="","",'Energy Data Input'!$H20)</f>
        <v/>
      </c>
      <c r="H20" s="102">
        <f>IF('Energy Data Input'!$J20="","",'Energy Data Input'!$J20)</f>
        <v/>
      </c>
      <c r="I20" s="142">
        <f>IF('Energy Data Input'!$N20="","",'Energy Data Input'!$N20)</f>
        <v/>
      </c>
      <c r="J20" s="142">
        <f>IF($B20="","",IFERROR(AVERAGEIFS('Energy Data Input'!$N$6:$N$205,'Energy Data Input'!$B$6:$B$205,"&gt;="&amp;$B20-7,'Energy Data Input'!$B$6:$B$205,"&lt;"&amp;$B20,'Energy Data Input'!$H$6:$H$205,$G20,'Energy Data Input'!$J$6:$J$205,$H20),$I20))</f>
        <v/>
      </c>
      <c r="K20" s="143">
        <f>IFERROR(($I20-$J20)/$J20,"")</f>
        <v/>
      </c>
      <c r="L20" s="102">
        <f>IF('Energy Data Input'!$V20="","",'Energy Data Input'!$V20)</f>
        <v/>
      </c>
      <c r="M20" s="102">
        <f>IF($H20="","",IFERROR(VLOOKUP($H20,'Base Settings'!$A$13:$K$19,5,FALSE),0.2))</f>
        <v/>
      </c>
      <c r="N20" s="102">
        <f>IF($B20="","",IF('Energy Data Input'!$L20="","Missing reading",IF($I20=0,"Stalled reading / possibly offline",IF($K20&gt;=IFERROR(VLOOKUP($H20,'Base Settings'!$A$13:$K$19,6,FALSE),0.5),"Severe spike",IF($K20&gt;=$M20,"Usage spike",IF($K20&lt;=-IFERROR(VLOOKUP($H20,'Base Settings'!$A$13:$K$19,7,FALSE),0.3),"Usage drop",IF($L20&gt;IFERROR(VLOOKUP($H20,'Base Settings'!$A$13:$K$19,8,FALSE),999999),"Area intensity overrun","Normal")))))))</f>
        <v/>
      </c>
      <c r="O20" s="102">
        <f>IF($N20="","",IF($N20="Normal","Normal",IF(OR($N20="Severe spike",$K20&gt;=IFERROR(VLOOKUP($H20,'Base Settings'!$A$13:$K$19,6,FALSE),0.5)),"Severe",IF(OR($N20="Usage spike",$N20="Usage drop"),"High","Medium"))))</f>
        <v/>
      </c>
      <c r="P20" s="144">
        <f>IF(OR($N20="",$N20="Normal"),0,ABS($I20-$J20)*'Energy Data Input'!$O20)</f>
        <v/>
      </c>
      <c r="Q20" s="102">
        <f>IF($N20="Normal","",IF($N20="Stalled reading / possibly offline","核查表计通信/Electricity池/网关/阀门Status",IF(AND($H20="Water",$N20&lt;&gt;"Normal"),"检查管网、阀门、卫生间、冷却塔及夜间最小流量",IF(AND($H20="Electricity",$N20&lt;&gt;"Normal"),"检查空调、照明、生产设备、PeakOff-peak时段与待机功耗",IF(AND($H20="Gas",$N20&lt;&gt;"Normal"),"检查燃Gas阀门、锅炉/厨房设备与泄漏风险","核查设备工况、排班、产量与计量数据")))))</f>
        <v/>
      </c>
      <c r="R20" s="102">
        <f>IF($H20="","",IFERROR(VLOOKUP($H20,'Base Settings'!$A$13:$K$19,11,FALSE),"Energy management owner"))</f>
        <v/>
      </c>
      <c r="S20" s="102">
        <f>IF($N20="","",IF($N20="Normal","No action needed","Open"))</f>
        <v/>
      </c>
      <c r="T20" s="141">
        <f>IF(OR($B20="",$N20="Normal"),"",WORKDAY($B20,IF($O20="Severe",1,IF($O20="High",2,3))))</f>
        <v/>
      </c>
      <c r="U20" s="102">
        <f>IF($T20="","",IF(AND($S20&lt;&gt;"Closed",TODAY()&gt;$T20),"Overdue","Not overdue"))</f>
        <v/>
      </c>
      <c r="V20" s="102" t="n"/>
      <c r="W20" s="141" t="n"/>
      <c r="X20" s="102" t="n"/>
    </row>
    <row r="21">
      <c r="A21" s="102">
        <f>IF('Energy Data Input'!$A21="","","AL-"&amp;TEXT(ROW()-5,"0000"))</f>
        <v/>
      </c>
      <c r="B21" s="141">
        <f>IF('Energy Data Input'!$B21="","",'Energy Data Input'!$B21)</f>
        <v/>
      </c>
      <c r="C21" s="102">
        <f>IF('Energy Data Input'!$C21="","",'Energy Data Input'!$C21)</f>
        <v/>
      </c>
      <c r="D21" s="102">
        <f>IF('Energy Data Input'!$D21="","",'Energy Data Input'!$D21)</f>
        <v/>
      </c>
      <c r="E21" s="102">
        <f>IF('Energy Data Input'!$E21="","",'Energy Data Input'!$E21)</f>
        <v/>
      </c>
      <c r="F21" s="102">
        <f>IF('Energy Data Input'!$G21="","",'Energy Data Input'!$G21)</f>
        <v/>
      </c>
      <c r="G21" s="102">
        <f>IF('Energy Data Input'!$H21="","",'Energy Data Input'!$H21)</f>
        <v/>
      </c>
      <c r="H21" s="102">
        <f>IF('Energy Data Input'!$J21="","",'Energy Data Input'!$J21)</f>
        <v/>
      </c>
      <c r="I21" s="142">
        <f>IF('Energy Data Input'!$N21="","",'Energy Data Input'!$N21)</f>
        <v/>
      </c>
      <c r="J21" s="142">
        <f>IF($B21="","",IFERROR(AVERAGEIFS('Energy Data Input'!$N$6:$N$205,'Energy Data Input'!$B$6:$B$205,"&gt;="&amp;$B21-7,'Energy Data Input'!$B$6:$B$205,"&lt;"&amp;$B21,'Energy Data Input'!$H$6:$H$205,$G21,'Energy Data Input'!$J$6:$J$205,$H21),$I21))</f>
        <v/>
      </c>
      <c r="K21" s="143">
        <f>IFERROR(($I21-$J21)/$J21,"")</f>
        <v/>
      </c>
      <c r="L21" s="102">
        <f>IF('Energy Data Input'!$V21="","",'Energy Data Input'!$V21)</f>
        <v/>
      </c>
      <c r="M21" s="102">
        <f>IF($H21="","",IFERROR(VLOOKUP($H21,'Base Settings'!$A$13:$K$19,5,FALSE),0.2))</f>
        <v/>
      </c>
      <c r="N21" s="102">
        <f>IF($B21="","",IF('Energy Data Input'!$L21="","Missing reading",IF($I21=0,"Stalled reading / possibly offline",IF($K21&gt;=IFERROR(VLOOKUP($H21,'Base Settings'!$A$13:$K$19,6,FALSE),0.5),"Severe spike",IF($K21&gt;=$M21,"Usage spike",IF($K21&lt;=-IFERROR(VLOOKUP($H21,'Base Settings'!$A$13:$K$19,7,FALSE),0.3),"Usage drop",IF($L21&gt;IFERROR(VLOOKUP($H21,'Base Settings'!$A$13:$K$19,8,FALSE),999999),"Area intensity overrun","Normal")))))))</f>
        <v/>
      </c>
      <c r="O21" s="102">
        <f>IF($N21="","",IF($N21="Normal","Normal",IF(OR($N21="Severe spike",$K21&gt;=IFERROR(VLOOKUP($H21,'Base Settings'!$A$13:$K$19,6,FALSE),0.5)),"Severe",IF(OR($N21="Usage spike",$N21="Usage drop"),"High","Medium"))))</f>
        <v/>
      </c>
      <c r="P21" s="144">
        <f>IF(OR($N21="",$N21="Normal"),0,ABS($I21-$J21)*'Energy Data Input'!$O21)</f>
        <v/>
      </c>
      <c r="Q21" s="102">
        <f>IF($N21="Normal","",IF($N21="Stalled reading / possibly offline","核查表计通信/Electricity池/网关/阀门Status",IF(AND($H21="Water",$N21&lt;&gt;"Normal"),"检查管网、阀门、卫生间、冷却塔及夜间最小流量",IF(AND($H21="Electricity",$N21&lt;&gt;"Normal"),"检查空调、照明、生产设备、PeakOff-peak时段与待机功耗",IF(AND($H21="Gas",$N21&lt;&gt;"Normal"),"检查燃Gas阀门、锅炉/厨房设备与泄漏风险","核查设备工况、排班、产量与计量数据")))))</f>
        <v/>
      </c>
      <c r="R21" s="102">
        <f>IF($H21="","",IFERROR(VLOOKUP($H21,'Base Settings'!$A$13:$K$19,11,FALSE),"Energy management owner"))</f>
        <v/>
      </c>
      <c r="S21" s="102">
        <f>IF($N21="","",IF($N21="Normal","No action needed","Open"))</f>
        <v/>
      </c>
      <c r="T21" s="141">
        <f>IF(OR($B21="",$N21="Normal"),"",WORKDAY($B21,IF($O21="Severe",1,IF($O21="High",2,3))))</f>
        <v/>
      </c>
      <c r="U21" s="102">
        <f>IF($T21="","",IF(AND($S21&lt;&gt;"Closed",TODAY()&gt;$T21),"Overdue","Not overdue"))</f>
        <v/>
      </c>
      <c r="V21" s="102" t="n"/>
      <c r="W21" s="141" t="n"/>
      <c r="X21" s="102" t="n"/>
    </row>
    <row r="22">
      <c r="A22" s="102">
        <f>IF('Energy Data Input'!$A22="","","AL-"&amp;TEXT(ROW()-5,"0000"))</f>
        <v/>
      </c>
      <c r="B22" s="141">
        <f>IF('Energy Data Input'!$B22="","",'Energy Data Input'!$B22)</f>
        <v/>
      </c>
      <c r="C22" s="102">
        <f>IF('Energy Data Input'!$C22="","",'Energy Data Input'!$C22)</f>
        <v/>
      </c>
      <c r="D22" s="102">
        <f>IF('Energy Data Input'!$D22="","",'Energy Data Input'!$D22)</f>
        <v/>
      </c>
      <c r="E22" s="102">
        <f>IF('Energy Data Input'!$E22="","",'Energy Data Input'!$E22)</f>
        <v/>
      </c>
      <c r="F22" s="102">
        <f>IF('Energy Data Input'!$G22="","",'Energy Data Input'!$G22)</f>
        <v/>
      </c>
      <c r="G22" s="102">
        <f>IF('Energy Data Input'!$H22="","",'Energy Data Input'!$H22)</f>
        <v/>
      </c>
      <c r="H22" s="102">
        <f>IF('Energy Data Input'!$J22="","",'Energy Data Input'!$J22)</f>
        <v/>
      </c>
      <c r="I22" s="142">
        <f>IF('Energy Data Input'!$N22="","",'Energy Data Input'!$N22)</f>
        <v/>
      </c>
      <c r="J22" s="142">
        <f>IF($B22="","",IFERROR(AVERAGEIFS('Energy Data Input'!$N$6:$N$205,'Energy Data Input'!$B$6:$B$205,"&gt;="&amp;$B22-7,'Energy Data Input'!$B$6:$B$205,"&lt;"&amp;$B22,'Energy Data Input'!$H$6:$H$205,$G22,'Energy Data Input'!$J$6:$J$205,$H22),$I22))</f>
        <v/>
      </c>
      <c r="K22" s="143">
        <f>IFERROR(($I22-$J22)/$J22,"")</f>
        <v/>
      </c>
      <c r="L22" s="102">
        <f>IF('Energy Data Input'!$V22="","",'Energy Data Input'!$V22)</f>
        <v/>
      </c>
      <c r="M22" s="102">
        <f>IF($H22="","",IFERROR(VLOOKUP($H22,'Base Settings'!$A$13:$K$19,5,FALSE),0.2))</f>
        <v/>
      </c>
      <c r="N22" s="102">
        <f>IF($B22="","",IF('Energy Data Input'!$L22="","Missing reading",IF($I22=0,"Stalled reading / possibly offline",IF($K22&gt;=IFERROR(VLOOKUP($H22,'Base Settings'!$A$13:$K$19,6,FALSE),0.5),"Severe spike",IF($K22&gt;=$M22,"Usage spike",IF($K22&lt;=-IFERROR(VLOOKUP($H22,'Base Settings'!$A$13:$K$19,7,FALSE),0.3),"Usage drop",IF($L22&gt;IFERROR(VLOOKUP($H22,'Base Settings'!$A$13:$K$19,8,FALSE),999999),"Area intensity overrun","Normal")))))))</f>
        <v/>
      </c>
      <c r="O22" s="102">
        <f>IF($N22="","",IF($N22="Normal","Normal",IF(OR($N22="Severe spike",$K22&gt;=IFERROR(VLOOKUP($H22,'Base Settings'!$A$13:$K$19,6,FALSE),0.5)),"Severe",IF(OR($N22="Usage spike",$N22="Usage drop"),"High","Medium"))))</f>
        <v/>
      </c>
      <c r="P22" s="144">
        <f>IF(OR($N22="",$N22="Normal"),0,ABS($I22-$J22)*'Energy Data Input'!$O22)</f>
        <v/>
      </c>
      <c r="Q22" s="102">
        <f>IF($N22="Normal","",IF($N22="Stalled reading / possibly offline","核查表计通信/Electricity池/网关/阀门Status",IF(AND($H22="Water",$N22&lt;&gt;"Normal"),"检查管网、阀门、卫生间、冷却塔及夜间最小流量",IF(AND($H22="Electricity",$N22&lt;&gt;"Normal"),"检查空调、照明、生产设备、PeakOff-peak时段与待机功耗",IF(AND($H22="Gas",$N22&lt;&gt;"Normal"),"检查燃Gas阀门、锅炉/厨房设备与泄漏风险","核查设备工况、排班、产量与计量数据")))))</f>
        <v/>
      </c>
      <c r="R22" s="102">
        <f>IF($H22="","",IFERROR(VLOOKUP($H22,'Base Settings'!$A$13:$K$19,11,FALSE),"Energy management owner"))</f>
        <v/>
      </c>
      <c r="S22" s="102">
        <f>IF($N22="","",IF($N22="Normal","No action needed","Open"))</f>
        <v/>
      </c>
      <c r="T22" s="141">
        <f>IF(OR($B22="",$N22="Normal"),"",WORKDAY($B22,IF($O22="Severe",1,IF($O22="High",2,3))))</f>
        <v/>
      </c>
      <c r="U22" s="102">
        <f>IF($T22="","",IF(AND($S22&lt;&gt;"Closed",TODAY()&gt;$T22),"Overdue","Not overdue"))</f>
        <v/>
      </c>
      <c r="V22" s="102" t="n"/>
      <c r="W22" s="141" t="n"/>
      <c r="X22" s="102" t="n"/>
    </row>
    <row r="23">
      <c r="A23" s="102">
        <f>IF('Energy Data Input'!$A23="","","AL-"&amp;TEXT(ROW()-5,"0000"))</f>
        <v/>
      </c>
      <c r="B23" s="141">
        <f>IF('Energy Data Input'!$B23="","",'Energy Data Input'!$B23)</f>
        <v/>
      </c>
      <c r="C23" s="102">
        <f>IF('Energy Data Input'!$C23="","",'Energy Data Input'!$C23)</f>
        <v/>
      </c>
      <c r="D23" s="102">
        <f>IF('Energy Data Input'!$D23="","",'Energy Data Input'!$D23)</f>
        <v/>
      </c>
      <c r="E23" s="102">
        <f>IF('Energy Data Input'!$E23="","",'Energy Data Input'!$E23)</f>
        <v/>
      </c>
      <c r="F23" s="102">
        <f>IF('Energy Data Input'!$G23="","",'Energy Data Input'!$G23)</f>
        <v/>
      </c>
      <c r="G23" s="102">
        <f>IF('Energy Data Input'!$H23="","",'Energy Data Input'!$H23)</f>
        <v/>
      </c>
      <c r="H23" s="102">
        <f>IF('Energy Data Input'!$J23="","",'Energy Data Input'!$J23)</f>
        <v/>
      </c>
      <c r="I23" s="142">
        <f>IF('Energy Data Input'!$N23="","",'Energy Data Input'!$N23)</f>
        <v/>
      </c>
      <c r="J23" s="142">
        <f>IF($B23="","",IFERROR(AVERAGEIFS('Energy Data Input'!$N$6:$N$205,'Energy Data Input'!$B$6:$B$205,"&gt;="&amp;$B23-7,'Energy Data Input'!$B$6:$B$205,"&lt;"&amp;$B23,'Energy Data Input'!$H$6:$H$205,$G23,'Energy Data Input'!$J$6:$J$205,$H23),$I23))</f>
        <v/>
      </c>
      <c r="K23" s="143">
        <f>IFERROR(($I23-$J23)/$J23,"")</f>
        <v/>
      </c>
      <c r="L23" s="102">
        <f>IF('Energy Data Input'!$V23="","",'Energy Data Input'!$V23)</f>
        <v/>
      </c>
      <c r="M23" s="102">
        <f>IF($H23="","",IFERROR(VLOOKUP($H23,'Base Settings'!$A$13:$K$19,5,FALSE),0.2))</f>
        <v/>
      </c>
      <c r="N23" s="102">
        <f>IF($B23="","",IF('Energy Data Input'!$L23="","Missing reading",IF($I23=0,"Stalled reading / possibly offline",IF($K23&gt;=IFERROR(VLOOKUP($H23,'Base Settings'!$A$13:$K$19,6,FALSE),0.5),"Severe spike",IF($K23&gt;=$M23,"Usage spike",IF($K23&lt;=-IFERROR(VLOOKUP($H23,'Base Settings'!$A$13:$K$19,7,FALSE),0.3),"Usage drop",IF($L23&gt;IFERROR(VLOOKUP($H23,'Base Settings'!$A$13:$K$19,8,FALSE),999999),"Area intensity overrun","Normal")))))))</f>
        <v/>
      </c>
      <c r="O23" s="102">
        <f>IF($N23="","",IF($N23="Normal","Normal",IF(OR($N23="Severe spike",$K23&gt;=IFERROR(VLOOKUP($H23,'Base Settings'!$A$13:$K$19,6,FALSE),0.5)),"Severe",IF(OR($N23="Usage spike",$N23="Usage drop"),"High","Medium"))))</f>
        <v/>
      </c>
      <c r="P23" s="144">
        <f>IF(OR($N23="",$N23="Normal"),0,ABS($I23-$J23)*'Energy Data Input'!$O23)</f>
        <v/>
      </c>
      <c r="Q23" s="102">
        <f>IF($N23="Normal","",IF($N23="Stalled reading / possibly offline","核查表计通信/Electricity池/网关/阀门Status",IF(AND($H23="Water",$N23&lt;&gt;"Normal"),"检查管网、阀门、卫生间、冷却塔及夜间最小流量",IF(AND($H23="Electricity",$N23&lt;&gt;"Normal"),"检查空调、照明、生产设备、PeakOff-peak时段与待机功耗",IF(AND($H23="Gas",$N23&lt;&gt;"Normal"),"检查燃Gas阀门、锅炉/厨房设备与泄漏风险","核查设备工况、排班、产量与计量数据")))))</f>
        <v/>
      </c>
      <c r="R23" s="102">
        <f>IF($H23="","",IFERROR(VLOOKUP($H23,'Base Settings'!$A$13:$K$19,11,FALSE),"Energy management owner"))</f>
        <v/>
      </c>
      <c r="S23" s="102">
        <f>IF($N23="","",IF($N23="Normal","No action needed","Open"))</f>
        <v/>
      </c>
      <c r="T23" s="141">
        <f>IF(OR($B23="",$N23="Normal"),"",WORKDAY($B23,IF($O23="Severe",1,IF($O23="High",2,3))))</f>
        <v/>
      </c>
      <c r="U23" s="102">
        <f>IF($T23="","",IF(AND($S23&lt;&gt;"Closed",TODAY()&gt;$T23),"Overdue","Not overdue"))</f>
        <v/>
      </c>
      <c r="V23" s="102" t="n"/>
      <c r="W23" s="141" t="n"/>
      <c r="X23" s="102" t="n"/>
    </row>
    <row r="24">
      <c r="A24" s="102">
        <f>IF('Energy Data Input'!$A24="","","AL-"&amp;TEXT(ROW()-5,"0000"))</f>
        <v/>
      </c>
      <c r="B24" s="141">
        <f>IF('Energy Data Input'!$B24="","",'Energy Data Input'!$B24)</f>
        <v/>
      </c>
      <c r="C24" s="102">
        <f>IF('Energy Data Input'!$C24="","",'Energy Data Input'!$C24)</f>
        <v/>
      </c>
      <c r="D24" s="102">
        <f>IF('Energy Data Input'!$D24="","",'Energy Data Input'!$D24)</f>
        <v/>
      </c>
      <c r="E24" s="102">
        <f>IF('Energy Data Input'!$E24="","",'Energy Data Input'!$E24)</f>
        <v/>
      </c>
      <c r="F24" s="102">
        <f>IF('Energy Data Input'!$G24="","",'Energy Data Input'!$G24)</f>
        <v/>
      </c>
      <c r="G24" s="102">
        <f>IF('Energy Data Input'!$H24="","",'Energy Data Input'!$H24)</f>
        <v/>
      </c>
      <c r="H24" s="102">
        <f>IF('Energy Data Input'!$J24="","",'Energy Data Input'!$J24)</f>
        <v/>
      </c>
      <c r="I24" s="142">
        <f>IF('Energy Data Input'!$N24="","",'Energy Data Input'!$N24)</f>
        <v/>
      </c>
      <c r="J24" s="142">
        <f>IF($B24="","",IFERROR(AVERAGEIFS('Energy Data Input'!$N$6:$N$205,'Energy Data Input'!$B$6:$B$205,"&gt;="&amp;$B24-7,'Energy Data Input'!$B$6:$B$205,"&lt;"&amp;$B24,'Energy Data Input'!$H$6:$H$205,$G24,'Energy Data Input'!$J$6:$J$205,$H24),$I24))</f>
        <v/>
      </c>
      <c r="K24" s="143">
        <f>IFERROR(($I24-$J24)/$J24,"")</f>
        <v/>
      </c>
      <c r="L24" s="102">
        <f>IF('Energy Data Input'!$V24="","",'Energy Data Input'!$V24)</f>
        <v/>
      </c>
      <c r="M24" s="102">
        <f>IF($H24="","",IFERROR(VLOOKUP($H24,'Base Settings'!$A$13:$K$19,5,FALSE),0.2))</f>
        <v/>
      </c>
      <c r="N24" s="102">
        <f>IF($B24="","",IF('Energy Data Input'!$L24="","Missing reading",IF($I24=0,"Stalled reading / possibly offline",IF($K24&gt;=IFERROR(VLOOKUP($H24,'Base Settings'!$A$13:$K$19,6,FALSE),0.5),"Severe spike",IF($K24&gt;=$M24,"Usage spike",IF($K24&lt;=-IFERROR(VLOOKUP($H24,'Base Settings'!$A$13:$K$19,7,FALSE),0.3),"Usage drop",IF($L24&gt;IFERROR(VLOOKUP($H24,'Base Settings'!$A$13:$K$19,8,FALSE),999999),"Area intensity overrun","Normal")))))))</f>
        <v/>
      </c>
      <c r="O24" s="102">
        <f>IF($N24="","",IF($N24="Normal","Normal",IF(OR($N24="Severe spike",$K24&gt;=IFERROR(VLOOKUP($H24,'Base Settings'!$A$13:$K$19,6,FALSE),0.5)),"Severe",IF(OR($N24="Usage spike",$N24="Usage drop"),"High","Medium"))))</f>
        <v/>
      </c>
      <c r="P24" s="144">
        <f>IF(OR($N24="",$N24="Normal"),0,ABS($I24-$J24)*'Energy Data Input'!$O24)</f>
        <v/>
      </c>
      <c r="Q24" s="102">
        <f>IF($N24="Normal","",IF($N24="Stalled reading / possibly offline","核查表计通信/Electricity池/网关/阀门Status",IF(AND($H24="Water",$N24&lt;&gt;"Normal"),"检查管网、阀门、卫生间、冷却塔及夜间最小流量",IF(AND($H24="Electricity",$N24&lt;&gt;"Normal"),"检查空调、照明、生产设备、PeakOff-peak时段与待机功耗",IF(AND($H24="Gas",$N24&lt;&gt;"Normal"),"检查燃Gas阀门、锅炉/厨房设备与泄漏风险","核查设备工况、排班、产量与计量数据")))))</f>
        <v/>
      </c>
      <c r="R24" s="102">
        <f>IF($H24="","",IFERROR(VLOOKUP($H24,'Base Settings'!$A$13:$K$19,11,FALSE),"Energy management owner"))</f>
        <v/>
      </c>
      <c r="S24" s="102">
        <f>IF($N24="","",IF($N24="Normal","No action needed","Open"))</f>
        <v/>
      </c>
      <c r="T24" s="141">
        <f>IF(OR($B24="",$N24="Normal"),"",WORKDAY($B24,IF($O24="Severe",1,IF($O24="High",2,3))))</f>
        <v/>
      </c>
      <c r="U24" s="102">
        <f>IF($T24="","",IF(AND($S24&lt;&gt;"Closed",TODAY()&gt;$T24),"Overdue","Not overdue"))</f>
        <v/>
      </c>
      <c r="V24" s="102" t="n"/>
      <c r="W24" s="141" t="n"/>
      <c r="X24" s="102" t="n"/>
    </row>
    <row r="25">
      <c r="A25" s="102">
        <f>IF('Energy Data Input'!$A25="","","AL-"&amp;TEXT(ROW()-5,"0000"))</f>
        <v/>
      </c>
      <c r="B25" s="141">
        <f>IF('Energy Data Input'!$B25="","",'Energy Data Input'!$B25)</f>
        <v/>
      </c>
      <c r="C25" s="102">
        <f>IF('Energy Data Input'!$C25="","",'Energy Data Input'!$C25)</f>
        <v/>
      </c>
      <c r="D25" s="102">
        <f>IF('Energy Data Input'!$D25="","",'Energy Data Input'!$D25)</f>
        <v/>
      </c>
      <c r="E25" s="102">
        <f>IF('Energy Data Input'!$E25="","",'Energy Data Input'!$E25)</f>
        <v/>
      </c>
      <c r="F25" s="102">
        <f>IF('Energy Data Input'!$G25="","",'Energy Data Input'!$G25)</f>
        <v/>
      </c>
      <c r="G25" s="102">
        <f>IF('Energy Data Input'!$H25="","",'Energy Data Input'!$H25)</f>
        <v/>
      </c>
      <c r="H25" s="102">
        <f>IF('Energy Data Input'!$J25="","",'Energy Data Input'!$J25)</f>
        <v/>
      </c>
      <c r="I25" s="142">
        <f>IF('Energy Data Input'!$N25="","",'Energy Data Input'!$N25)</f>
        <v/>
      </c>
      <c r="J25" s="142">
        <f>IF($B25="","",IFERROR(AVERAGEIFS('Energy Data Input'!$N$6:$N$205,'Energy Data Input'!$B$6:$B$205,"&gt;="&amp;$B25-7,'Energy Data Input'!$B$6:$B$205,"&lt;"&amp;$B25,'Energy Data Input'!$H$6:$H$205,$G25,'Energy Data Input'!$J$6:$J$205,$H25),$I25))</f>
        <v/>
      </c>
      <c r="K25" s="143">
        <f>IFERROR(($I25-$J25)/$J25,"")</f>
        <v/>
      </c>
      <c r="L25" s="102">
        <f>IF('Energy Data Input'!$V25="","",'Energy Data Input'!$V25)</f>
        <v/>
      </c>
      <c r="M25" s="102">
        <f>IF($H25="","",IFERROR(VLOOKUP($H25,'Base Settings'!$A$13:$K$19,5,FALSE),0.2))</f>
        <v/>
      </c>
      <c r="N25" s="102">
        <f>IF($B25="","",IF('Energy Data Input'!$L25="","Missing reading",IF($I25=0,"Stalled reading / possibly offline",IF($K25&gt;=IFERROR(VLOOKUP($H25,'Base Settings'!$A$13:$K$19,6,FALSE),0.5),"Severe spike",IF($K25&gt;=$M25,"Usage spike",IF($K25&lt;=-IFERROR(VLOOKUP($H25,'Base Settings'!$A$13:$K$19,7,FALSE),0.3),"Usage drop",IF($L25&gt;IFERROR(VLOOKUP($H25,'Base Settings'!$A$13:$K$19,8,FALSE),999999),"Area intensity overrun","Normal")))))))</f>
        <v/>
      </c>
      <c r="O25" s="102">
        <f>IF($N25="","",IF($N25="Normal","Normal",IF(OR($N25="Severe spike",$K25&gt;=IFERROR(VLOOKUP($H25,'Base Settings'!$A$13:$K$19,6,FALSE),0.5)),"Severe",IF(OR($N25="Usage spike",$N25="Usage drop"),"High","Medium"))))</f>
        <v/>
      </c>
      <c r="P25" s="144">
        <f>IF(OR($N25="",$N25="Normal"),0,ABS($I25-$J25)*'Energy Data Input'!$O25)</f>
        <v/>
      </c>
      <c r="Q25" s="102">
        <f>IF($N25="Normal","",IF($N25="Stalled reading / possibly offline","核查表计通信/Electricity池/网关/阀门Status",IF(AND($H25="Water",$N25&lt;&gt;"Normal"),"检查管网、阀门、卫生间、冷却塔及夜间最小流量",IF(AND($H25="Electricity",$N25&lt;&gt;"Normal"),"检查空调、照明、生产设备、PeakOff-peak时段与待机功耗",IF(AND($H25="Gas",$N25&lt;&gt;"Normal"),"检查燃Gas阀门、锅炉/厨房设备与泄漏风险","核查设备工况、排班、产量与计量数据")))))</f>
        <v/>
      </c>
      <c r="R25" s="102">
        <f>IF($H25="","",IFERROR(VLOOKUP($H25,'Base Settings'!$A$13:$K$19,11,FALSE),"Energy management owner"))</f>
        <v/>
      </c>
      <c r="S25" s="102">
        <f>IF($N25="","",IF($N25="Normal","No action needed","Open"))</f>
        <v/>
      </c>
      <c r="T25" s="141">
        <f>IF(OR($B25="",$N25="Normal"),"",WORKDAY($B25,IF($O25="Severe",1,IF($O25="High",2,3))))</f>
        <v/>
      </c>
      <c r="U25" s="102">
        <f>IF($T25="","",IF(AND($S25&lt;&gt;"Closed",TODAY()&gt;$T25),"Overdue","Not overdue"))</f>
        <v/>
      </c>
      <c r="V25" s="102" t="n"/>
      <c r="W25" s="141" t="n"/>
      <c r="X25" s="102" t="n"/>
    </row>
    <row r="26">
      <c r="A26" s="102">
        <f>IF('Energy Data Input'!$A26="","","AL-"&amp;TEXT(ROW()-5,"0000"))</f>
        <v/>
      </c>
      <c r="B26" s="141">
        <f>IF('Energy Data Input'!$B26="","",'Energy Data Input'!$B26)</f>
        <v/>
      </c>
      <c r="C26" s="102">
        <f>IF('Energy Data Input'!$C26="","",'Energy Data Input'!$C26)</f>
        <v/>
      </c>
      <c r="D26" s="102">
        <f>IF('Energy Data Input'!$D26="","",'Energy Data Input'!$D26)</f>
        <v/>
      </c>
      <c r="E26" s="102">
        <f>IF('Energy Data Input'!$E26="","",'Energy Data Input'!$E26)</f>
        <v/>
      </c>
      <c r="F26" s="102">
        <f>IF('Energy Data Input'!$G26="","",'Energy Data Input'!$G26)</f>
        <v/>
      </c>
      <c r="G26" s="102">
        <f>IF('Energy Data Input'!$H26="","",'Energy Data Input'!$H26)</f>
        <v/>
      </c>
      <c r="H26" s="102">
        <f>IF('Energy Data Input'!$J26="","",'Energy Data Input'!$J26)</f>
        <v/>
      </c>
      <c r="I26" s="142">
        <f>IF('Energy Data Input'!$N26="","",'Energy Data Input'!$N26)</f>
        <v/>
      </c>
      <c r="J26" s="142">
        <f>IF($B26="","",IFERROR(AVERAGEIFS('Energy Data Input'!$N$6:$N$205,'Energy Data Input'!$B$6:$B$205,"&gt;="&amp;$B26-7,'Energy Data Input'!$B$6:$B$205,"&lt;"&amp;$B26,'Energy Data Input'!$H$6:$H$205,$G26,'Energy Data Input'!$J$6:$J$205,$H26),$I26))</f>
        <v/>
      </c>
      <c r="K26" s="143">
        <f>IFERROR(($I26-$J26)/$J26,"")</f>
        <v/>
      </c>
      <c r="L26" s="102">
        <f>IF('Energy Data Input'!$V26="","",'Energy Data Input'!$V26)</f>
        <v/>
      </c>
      <c r="M26" s="102">
        <f>IF($H26="","",IFERROR(VLOOKUP($H26,'Base Settings'!$A$13:$K$19,5,FALSE),0.2))</f>
        <v/>
      </c>
      <c r="N26" s="102">
        <f>IF($B26="","",IF('Energy Data Input'!$L26="","Missing reading",IF($I26=0,"Stalled reading / possibly offline",IF($K26&gt;=IFERROR(VLOOKUP($H26,'Base Settings'!$A$13:$K$19,6,FALSE),0.5),"Severe spike",IF($K26&gt;=$M26,"Usage spike",IF($K26&lt;=-IFERROR(VLOOKUP($H26,'Base Settings'!$A$13:$K$19,7,FALSE),0.3),"Usage drop",IF($L26&gt;IFERROR(VLOOKUP($H26,'Base Settings'!$A$13:$K$19,8,FALSE),999999),"Area intensity overrun","Normal")))))))</f>
        <v/>
      </c>
      <c r="O26" s="102">
        <f>IF($N26="","",IF($N26="Normal","Normal",IF(OR($N26="Severe spike",$K26&gt;=IFERROR(VLOOKUP($H26,'Base Settings'!$A$13:$K$19,6,FALSE),0.5)),"Severe",IF(OR($N26="Usage spike",$N26="Usage drop"),"High","Medium"))))</f>
        <v/>
      </c>
      <c r="P26" s="144">
        <f>IF(OR($N26="",$N26="Normal"),0,ABS($I26-$J26)*'Energy Data Input'!$O26)</f>
        <v/>
      </c>
      <c r="Q26" s="102">
        <f>IF($N26="Normal","",IF($N26="Stalled reading / possibly offline","核查表计通信/Electricity池/网关/阀门Status",IF(AND($H26="Water",$N26&lt;&gt;"Normal"),"检查管网、阀门、卫生间、冷却塔及夜间最小流量",IF(AND($H26="Electricity",$N26&lt;&gt;"Normal"),"检查空调、照明、生产设备、PeakOff-peak时段与待机功耗",IF(AND($H26="Gas",$N26&lt;&gt;"Normal"),"检查燃Gas阀门、锅炉/厨房设备与泄漏风险","核查设备工况、排班、产量与计量数据")))))</f>
        <v/>
      </c>
      <c r="R26" s="102">
        <f>IF($H26="","",IFERROR(VLOOKUP($H26,'Base Settings'!$A$13:$K$19,11,FALSE),"Energy management owner"))</f>
        <v/>
      </c>
      <c r="S26" s="102">
        <f>IF($N26="","",IF($N26="Normal","No action needed","Open"))</f>
        <v/>
      </c>
      <c r="T26" s="141">
        <f>IF(OR($B26="",$N26="Normal"),"",WORKDAY($B26,IF($O26="Severe",1,IF($O26="High",2,3))))</f>
        <v/>
      </c>
      <c r="U26" s="102">
        <f>IF($T26="","",IF(AND($S26&lt;&gt;"Closed",TODAY()&gt;$T26),"Overdue","Not overdue"))</f>
        <v/>
      </c>
      <c r="V26" s="102" t="n"/>
      <c r="W26" s="141" t="n"/>
      <c r="X26" s="102" t="n"/>
    </row>
    <row r="27">
      <c r="A27" s="102">
        <f>IF('Energy Data Input'!$A27="","","AL-"&amp;TEXT(ROW()-5,"0000"))</f>
        <v/>
      </c>
      <c r="B27" s="141">
        <f>IF('Energy Data Input'!$B27="","",'Energy Data Input'!$B27)</f>
        <v/>
      </c>
      <c r="C27" s="102">
        <f>IF('Energy Data Input'!$C27="","",'Energy Data Input'!$C27)</f>
        <v/>
      </c>
      <c r="D27" s="102">
        <f>IF('Energy Data Input'!$D27="","",'Energy Data Input'!$D27)</f>
        <v/>
      </c>
      <c r="E27" s="102">
        <f>IF('Energy Data Input'!$E27="","",'Energy Data Input'!$E27)</f>
        <v/>
      </c>
      <c r="F27" s="102">
        <f>IF('Energy Data Input'!$G27="","",'Energy Data Input'!$G27)</f>
        <v/>
      </c>
      <c r="G27" s="102">
        <f>IF('Energy Data Input'!$H27="","",'Energy Data Input'!$H27)</f>
        <v/>
      </c>
      <c r="H27" s="102">
        <f>IF('Energy Data Input'!$J27="","",'Energy Data Input'!$J27)</f>
        <v/>
      </c>
      <c r="I27" s="142">
        <f>IF('Energy Data Input'!$N27="","",'Energy Data Input'!$N27)</f>
        <v/>
      </c>
      <c r="J27" s="142">
        <f>IF($B27="","",IFERROR(AVERAGEIFS('Energy Data Input'!$N$6:$N$205,'Energy Data Input'!$B$6:$B$205,"&gt;="&amp;$B27-7,'Energy Data Input'!$B$6:$B$205,"&lt;"&amp;$B27,'Energy Data Input'!$H$6:$H$205,$G27,'Energy Data Input'!$J$6:$J$205,$H27),$I27))</f>
        <v/>
      </c>
      <c r="K27" s="143">
        <f>IFERROR(($I27-$J27)/$J27,"")</f>
        <v/>
      </c>
      <c r="L27" s="102">
        <f>IF('Energy Data Input'!$V27="","",'Energy Data Input'!$V27)</f>
        <v/>
      </c>
      <c r="M27" s="102">
        <f>IF($H27="","",IFERROR(VLOOKUP($H27,'Base Settings'!$A$13:$K$19,5,FALSE),0.2))</f>
        <v/>
      </c>
      <c r="N27" s="102">
        <f>IF($B27="","",IF('Energy Data Input'!$L27="","Missing reading",IF($I27=0,"Stalled reading / possibly offline",IF($K27&gt;=IFERROR(VLOOKUP($H27,'Base Settings'!$A$13:$K$19,6,FALSE),0.5),"Severe spike",IF($K27&gt;=$M27,"Usage spike",IF($K27&lt;=-IFERROR(VLOOKUP($H27,'Base Settings'!$A$13:$K$19,7,FALSE),0.3),"Usage drop",IF($L27&gt;IFERROR(VLOOKUP($H27,'Base Settings'!$A$13:$K$19,8,FALSE),999999),"Area intensity overrun","Normal")))))))</f>
        <v/>
      </c>
      <c r="O27" s="102">
        <f>IF($N27="","",IF($N27="Normal","Normal",IF(OR($N27="Severe spike",$K27&gt;=IFERROR(VLOOKUP($H27,'Base Settings'!$A$13:$K$19,6,FALSE),0.5)),"Severe",IF(OR($N27="Usage spike",$N27="Usage drop"),"High","Medium"))))</f>
        <v/>
      </c>
      <c r="P27" s="144">
        <f>IF(OR($N27="",$N27="Normal"),0,ABS($I27-$J27)*'Energy Data Input'!$O27)</f>
        <v/>
      </c>
      <c r="Q27" s="102">
        <f>IF($N27="Normal","",IF($N27="Stalled reading / possibly offline","核查表计通信/Electricity池/网关/阀门Status",IF(AND($H27="Water",$N27&lt;&gt;"Normal"),"检查管网、阀门、卫生间、冷却塔及夜间最小流量",IF(AND($H27="Electricity",$N27&lt;&gt;"Normal"),"检查空调、照明、生产设备、PeakOff-peak时段与待机功耗",IF(AND($H27="Gas",$N27&lt;&gt;"Normal"),"检查燃Gas阀门、锅炉/厨房设备与泄漏风险","核查设备工况、排班、产量与计量数据")))))</f>
        <v/>
      </c>
      <c r="R27" s="102">
        <f>IF($H27="","",IFERROR(VLOOKUP($H27,'Base Settings'!$A$13:$K$19,11,FALSE),"Energy management owner"))</f>
        <v/>
      </c>
      <c r="S27" s="102">
        <f>IF($N27="","",IF($N27="Normal","No action needed","Open"))</f>
        <v/>
      </c>
      <c r="T27" s="141">
        <f>IF(OR($B27="",$N27="Normal"),"",WORKDAY($B27,IF($O27="Severe",1,IF($O27="High",2,3))))</f>
        <v/>
      </c>
      <c r="U27" s="102">
        <f>IF($T27="","",IF(AND($S27&lt;&gt;"Closed",TODAY()&gt;$T27),"Overdue","Not overdue"))</f>
        <v/>
      </c>
      <c r="V27" s="102" t="n"/>
      <c r="W27" s="141" t="n"/>
      <c r="X27" s="102" t="n"/>
    </row>
    <row r="28">
      <c r="A28" s="102">
        <f>IF('Energy Data Input'!$A28="","","AL-"&amp;TEXT(ROW()-5,"0000"))</f>
        <v/>
      </c>
      <c r="B28" s="141">
        <f>IF('Energy Data Input'!$B28="","",'Energy Data Input'!$B28)</f>
        <v/>
      </c>
      <c r="C28" s="102">
        <f>IF('Energy Data Input'!$C28="","",'Energy Data Input'!$C28)</f>
        <v/>
      </c>
      <c r="D28" s="102">
        <f>IF('Energy Data Input'!$D28="","",'Energy Data Input'!$D28)</f>
        <v/>
      </c>
      <c r="E28" s="102">
        <f>IF('Energy Data Input'!$E28="","",'Energy Data Input'!$E28)</f>
        <v/>
      </c>
      <c r="F28" s="102">
        <f>IF('Energy Data Input'!$G28="","",'Energy Data Input'!$G28)</f>
        <v/>
      </c>
      <c r="G28" s="102">
        <f>IF('Energy Data Input'!$H28="","",'Energy Data Input'!$H28)</f>
        <v/>
      </c>
      <c r="H28" s="102">
        <f>IF('Energy Data Input'!$J28="","",'Energy Data Input'!$J28)</f>
        <v/>
      </c>
      <c r="I28" s="142">
        <f>IF('Energy Data Input'!$N28="","",'Energy Data Input'!$N28)</f>
        <v/>
      </c>
      <c r="J28" s="142">
        <f>IF($B28="","",IFERROR(AVERAGEIFS('Energy Data Input'!$N$6:$N$205,'Energy Data Input'!$B$6:$B$205,"&gt;="&amp;$B28-7,'Energy Data Input'!$B$6:$B$205,"&lt;"&amp;$B28,'Energy Data Input'!$H$6:$H$205,$G28,'Energy Data Input'!$J$6:$J$205,$H28),$I28))</f>
        <v/>
      </c>
      <c r="K28" s="143">
        <f>IFERROR(($I28-$J28)/$J28,"")</f>
        <v/>
      </c>
      <c r="L28" s="102">
        <f>IF('Energy Data Input'!$V28="","",'Energy Data Input'!$V28)</f>
        <v/>
      </c>
      <c r="M28" s="102">
        <f>IF($H28="","",IFERROR(VLOOKUP($H28,'Base Settings'!$A$13:$K$19,5,FALSE),0.2))</f>
        <v/>
      </c>
      <c r="N28" s="102">
        <f>IF($B28="","",IF('Energy Data Input'!$L28="","Missing reading",IF($I28=0,"Stalled reading / possibly offline",IF($K28&gt;=IFERROR(VLOOKUP($H28,'Base Settings'!$A$13:$K$19,6,FALSE),0.5),"Severe spike",IF($K28&gt;=$M28,"Usage spike",IF($K28&lt;=-IFERROR(VLOOKUP($H28,'Base Settings'!$A$13:$K$19,7,FALSE),0.3),"Usage drop",IF($L28&gt;IFERROR(VLOOKUP($H28,'Base Settings'!$A$13:$K$19,8,FALSE),999999),"Area intensity overrun","Normal")))))))</f>
        <v/>
      </c>
      <c r="O28" s="102">
        <f>IF($N28="","",IF($N28="Normal","Normal",IF(OR($N28="Severe spike",$K28&gt;=IFERROR(VLOOKUP($H28,'Base Settings'!$A$13:$K$19,6,FALSE),0.5)),"Severe",IF(OR($N28="Usage spike",$N28="Usage drop"),"High","Medium"))))</f>
        <v/>
      </c>
      <c r="P28" s="144">
        <f>IF(OR($N28="",$N28="Normal"),0,ABS($I28-$J28)*'Energy Data Input'!$O28)</f>
        <v/>
      </c>
      <c r="Q28" s="102">
        <f>IF($N28="Normal","",IF($N28="Stalled reading / possibly offline","核查表计通信/Electricity池/网关/阀门Status",IF(AND($H28="Water",$N28&lt;&gt;"Normal"),"检查管网、阀门、卫生间、冷却塔及夜间最小流量",IF(AND($H28="Electricity",$N28&lt;&gt;"Normal"),"检查空调、照明、生产设备、PeakOff-peak时段与待机功耗",IF(AND($H28="Gas",$N28&lt;&gt;"Normal"),"检查燃Gas阀门、锅炉/厨房设备与泄漏风险","核查设备工况、排班、产量与计量数据")))))</f>
        <v/>
      </c>
      <c r="R28" s="102">
        <f>IF($H28="","",IFERROR(VLOOKUP($H28,'Base Settings'!$A$13:$K$19,11,FALSE),"Energy management owner"))</f>
        <v/>
      </c>
      <c r="S28" s="102">
        <f>IF($N28="","",IF($N28="Normal","No action needed","Open"))</f>
        <v/>
      </c>
      <c r="T28" s="141">
        <f>IF(OR($B28="",$N28="Normal"),"",WORKDAY($B28,IF($O28="Severe",1,IF($O28="High",2,3))))</f>
        <v/>
      </c>
      <c r="U28" s="102">
        <f>IF($T28="","",IF(AND($S28&lt;&gt;"Closed",TODAY()&gt;$T28),"Overdue","Not overdue"))</f>
        <v/>
      </c>
      <c r="V28" s="102" t="n"/>
      <c r="W28" s="141" t="n"/>
      <c r="X28" s="102" t="n"/>
    </row>
    <row r="29">
      <c r="A29" s="102">
        <f>IF('Energy Data Input'!$A29="","","AL-"&amp;TEXT(ROW()-5,"0000"))</f>
        <v/>
      </c>
      <c r="B29" s="141">
        <f>IF('Energy Data Input'!$B29="","",'Energy Data Input'!$B29)</f>
        <v/>
      </c>
      <c r="C29" s="102">
        <f>IF('Energy Data Input'!$C29="","",'Energy Data Input'!$C29)</f>
        <v/>
      </c>
      <c r="D29" s="102">
        <f>IF('Energy Data Input'!$D29="","",'Energy Data Input'!$D29)</f>
        <v/>
      </c>
      <c r="E29" s="102">
        <f>IF('Energy Data Input'!$E29="","",'Energy Data Input'!$E29)</f>
        <v/>
      </c>
      <c r="F29" s="102">
        <f>IF('Energy Data Input'!$G29="","",'Energy Data Input'!$G29)</f>
        <v/>
      </c>
      <c r="G29" s="102">
        <f>IF('Energy Data Input'!$H29="","",'Energy Data Input'!$H29)</f>
        <v/>
      </c>
      <c r="H29" s="102">
        <f>IF('Energy Data Input'!$J29="","",'Energy Data Input'!$J29)</f>
        <v/>
      </c>
      <c r="I29" s="142">
        <f>IF('Energy Data Input'!$N29="","",'Energy Data Input'!$N29)</f>
        <v/>
      </c>
      <c r="J29" s="142">
        <f>IF($B29="","",IFERROR(AVERAGEIFS('Energy Data Input'!$N$6:$N$205,'Energy Data Input'!$B$6:$B$205,"&gt;="&amp;$B29-7,'Energy Data Input'!$B$6:$B$205,"&lt;"&amp;$B29,'Energy Data Input'!$H$6:$H$205,$G29,'Energy Data Input'!$J$6:$J$205,$H29),$I29))</f>
        <v/>
      </c>
      <c r="K29" s="143">
        <f>IFERROR(($I29-$J29)/$J29,"")</f>
        <v/>
      </c>
      <c r="L29" s="102">
        <f>IF('Energy Data Input'!$V29="","",'Energy Data Input'!$V29)</f>
        <v/>
      </c>
      <c r="M29" s="102">
        <f>IF($H29="","",IFERROR(VLOOKUP($H29,'Base Settings'!$A$13:$K$19,5,FALSE),0.2))</f>
        <v/>
      </c>
      <c r="N29" s="102">
        <f>IF($B29="","",IF('Energy Data Input'!$L29="","Missing reading",IF($I29=0,"Stalled reading / possibly offline",IF($K29&gt;=IFERROR(VLOOKUP($H29,'Base Settings'!$A$13:$K$19,6,FALSE),0.5),"Severe spike",IF($K29&gt;=$M29,"Usage spike",IF($K29&lt;=-IFERROR(VLOOKUP($H29,'Base Settings'!$A$13:$K$19,7,FALSE),0.3),"Usage drop",IF($L29&gt;IFERROR(VLOOKUP($H29,'Base Settings'!$A$13:$K$19,8,FALSE),999999),"Area intensity overrun","Normal")))))))</f>
        <v/>
      </c>
      <c r="O29" s="102">
        <f>IF($N29="","",IF($N29="Normal","Normal",IF(OR($N29="Severe spike",$K29&gt;=IFERROR(VLOOKUP($H29,'Base Settings'!$A$13:$K$19,6,FALSE),0.5)),"Severe",IF(OR($N29="Usage spike",$N29="Usage drop"),"High","Medium"))))</f>
        <v/>
      </c>
      <c r="P29" s="144">
        <f>IF(OR($N29="",$N29="Normal"),0,ABS($I29-$J29)*'Energy Data Input'!$O29)</f>
        <v/>
      </c>
      <c r="Q29" s="102">
        <f>IF($N29="Normal","",IF($N29="Stalled reading / possibly offline","核查表计通信/Electricity池/网关/阀门Status",IF(AND($H29="Water",$N29&lt;&gt;"Normal"),"检查管网、阀门、卫生间、冷却塔及夜间最小流量",IF(AND($H29="Electricity",$N29&lt;&gt;"Normal"),"检查空调、照明、生产设备、PeakOff-peak时段与待机功耗",IF(AND($H29="Gas",$N29&lt;&gt;"Normal"),"检查燃Gas阀门、锅炉/厨房设备与泄漏风险","核查设备工况、排班、产量与计量数据")))))</f>
        <v/>
      </c>
      <c r="R29" s="102">
        <f>IF($H29="","",IFERROR(VLOOKUP($H29,'Base Settings'!$A$13:$K$19,11,FALSE),"Energy management owner"))</f>
        <v/>
      </c>
      <c r="S29" s="102">
        <f>IF($N29="","",IF($N29="Normal","No action needed","Open"))</f>
        <v/>
      </c>
      <c r="T29" s="141">
        <f>IF(OR($B29="",$N29="Normal"),"",WORKDAY($B29,IF($O29="Severe",1,IF($O29="High",2,3))))</f>
        <v/>
      </c>
      <c r="U29" s="102">
        <f>IF($T29="","",IF(AND($S29&lt;&gt;"Closed",TODAY()&gt;$T29),"Overdue","Not overdue"))</f>
        <v/>
      </c>
      <c r="V29" s="102" t="n"/>
      <c r="W29" s="141" t="n"/>
      <c r="X29" s="102" t="n"/>
    </row>
    <row r="30">
      <c r="A30" s="102">
        <f>IF('Energy Data Input'!$A30="","","AL-"&amp;TEXT(ROW()-5,"0000"))</f>
        <v/>
      </c>
      <c r="B30" s="141">
        <f>IF('Energy Data Input'!$B30="","",'Energy Data Input'!$B30)</f>
        <v/>
      </c>
      <c r="C30" s="102">
        <f>IF('Energy Data Input'!$C30="","",'Energy Data Input'!$C30)</f>
        <v/>
      </c>
      <c r="D30" s="102">
        <f>IF('Energy Data Input'!$D30="","",'Energy Data Input'!$D30)</f>
        <v/>
      </c>
      <c r="E30" s="102">
        <f>IF('Energy Data Input'!$E30="","",'Energy Data Input'!$E30)</f>
        <v/>
      </c>
      <c r="F30" s="102">
        <f>IF('Energy Data Input'!$G30="","",'Energy Data Input'!$G30)</f>
        <v/>
      </c>
      <c r="G30" s="102">
        <f>IF('Energy Data Input'!$H30="","",'Energy Data Input'!$H30)</f>
        <v/>
      </c>
      <c r="H30" s="102">
        <f>IF('Energy Data Input'!$J30="","",'Energy Data Input'!$J30)</f>
        <v/>
      </c>
      <c r="I30" s="142">
        <f>IF('Energy Data Input'!$N30="","",'Energy Data Input'!$N30)</f>
        <v/>
      </c>
      <c r="J30" s="142">
        <f>IF($B30="","",IFERROR(AVERAGEIFS('Energy Data Input'!$N$6:$N$205,'Energy Data Input'!$B$6:$B$205,"&gt;="&amp;$B30-7,'Energy Data Input'!$B$6:$B$205,"&lt;"&amp;$B30,'Energy Data Input'!$H$6:$H$205,$G30,'Energy Data Input'!$J$6:$J$205,$H30),$I30))</f>
        <v/>
      </c>
      <c r="K30" s="143">
        <f>IFERROR(($I30-$J30)/$J30,"")</f>
        <v/>
      </c>
      <c r="L30" s="102">
        <f>IF('Energy Data Input'!$V30="","",'Energy Data Input'!$V30)</f>
        <v/>
      </c>
      <c r="M30" s="102">
        <f>IF($H30="","",IFERROR(VLOOKUP($H30,'Base Settings'!$A$13:$K$19,5,FALSE),0.2))</f>
        <v/>
      </c>
      <c r="N30" s="102">
        <f>IF($B30="","",IF('Energy Data Input'!$L30="","Missing reading",IF($I30=0,"Stalled reading / possibly offline",IF($K30&gt;=IFERROR(VLOOKUP($H30,'Base Settings'!$A$13:$K$19,6,FALSE),0.5),"Severe spike",IF($K30&gt;=$M30,"Usage spike",IF($K30&lt;=-IFERROR(VLOOKUP($H30,'Base Settings'!$A$13:$K$19,7,FALSE),0.3),"Usage drop",IF($L30&gt;IFERROR(VLOOKUP($H30,'Base Settings'!$A$13:$K$19,8,FALSE),999999),"Area intensity overrun","Normal")))))))</f>
        <v/>
      </c>
      <c r="O30" s="102">
        <f>IF($N30="","",IF($N30="Normal","Normal",IF(OR($N30="Severe spike",$K30&gt;=IFERROR(VLOOKUP($H30,'Base Settings'!$A$13:$K$19,6,FALSE),0.5)),"Severe",IF(OR($N30="Usage spike",$N30="Usage drop"),"High","Medium"))))</f>
        <v/>
      </c>
      <c r="P30" s="144">
        <f>IF(OR($N30="",$N30="Normal"),0,ABS($I30-$J30)*'Energy Data Input'!$O30)</f>
        <v/>
      </c>
      <c r="Q30" s="102">
        <f>IF($N30="Normal","",IF($N30="Stalled reading / possibly offline","核查表计通信/Electricity池/网关/阀门Status",IF(AND($H30="Water",$N30&lt;&gt;"Normal"),"检查管网、阀门、卫生间、冷却塔及夜间最小流量",IF(AND($H30="Electricity",$N30&lt;&gt;"Normal"),"检查空调、照明、生产设备、PeakOff-peak时段与待机功耗",IF(AND($H30="Gas",$N30&lt;&gt;"Normal"),"检查燃Gas阀门、锅炉/厨房设备与泄漏风险","核查设备工况、排班、产量与计量数据")))))</f>
        <v/>
      </c>
      <c r="R30" s="102">
        <f>IF($H30="","",IFERROR(VLOOKUP($H30,'Base Settings'!$A$13:$K$19,11,FALSE),"Energy management owner"))</f>
        <v/>
      </c>
      <c r="S30" s="102">
        <f>IF($N30="","",IF($N30="Normal","No action needed","Open"))</f>
        <v/>
      </c>
      <c r="T30" s="141">
        <f>IF(OR($B30="",$N30="Normal"),"",WORKDAY($B30,IF($O30="Severe",1,IF($O30="High",2,3))))</f>
        <v/>
      </c>
      <c r="U30" s="102">
        <f>IF($T30="","",IF(AND($S30&lt;&gt;"Closed",TODAY()&gt;$T30),"Overdue","Not overdue"))</f>
        <v/>
      </c>
      <c r="V30" s="102" t="n"/>
      <c r="W30" s="141" t="n"/>
      <c r="X30" s="102" t="n"/>
    </row>
    <row r="31">
      <c r="A31" s="102">
        <f>IF('Energy Data Input'!$A31="","","AL-"&amp;TEXT(ROW()-5,"0000"))</f>
        <v/>
      </c>
      <c r="B31" s="141">
        <f>IF('Energy Data Input'!$B31="","",'Energy Data Input'!$B31)</f>
        <v/>
      </c>
      <c r="C31" s="102">
        <f>IF('Energy Data Input'!$C31="","",'Energy Data Input'!$C31)</f>
        <v/>
      </c>
      <c r="D31" s="102">
        <f>IF('Energy Data Input'!$D31="","",'Energy Data Input'!$D31)</f>
        <v/>
      </c>
      <c r="E31" s="102">
        <f>IF('Energy Data Input'!$E31="","",'Energy Data Input'!$E31)</f>
        <v/>
      </c>
      <c r="F31" s="102">
        <f>IF('Energy Data Input'!$G31="","",'Energy Data Input'!$G31)</f>
        <v/>
      </c>
      <c r="G31" s="102">
        <f>IF('Energy Data Input'!$H31="","",'Energy Data Input'!$H31)</f>
        <v/>
      </c>
      <c r="H31" s="102">
        <f>IF('Energy Data Input'!$J31="","",'Energy Data Input'!$J31)</f>
        <v/>
      </c>
      <c r="I31" s="142">
        <f>IF('Energy Data Input'!$N31="","",'Energy Data Input'!$N31)</f>
        <v/>
      </c>
      <c r="J31" s="142">
        <f>IF($B31="","",IFERROR(AVERAGEIFS('Energy Data Input'!$N$6:$N$205,'Energy Data Input'!$B$6:$B$205,"&gt;="&amp;$B31-7,'Energy Data Input'!$B$6:$B$205,"&lt;"&amp;$B31,'Energy Data Input'!$H$6:$H$205,$G31,'Energy Data Input'!$J$6:$J$205,$H31),$I31))</f>
        <v/>
      </c>
      <c r="K31" s="143">
        <f>IFERROR(($I31-$J31)/$J31,"")</f>
        <v/>
      </c>
      <c r="L31" s="102">
        <f>IF('Energy Data Input'!$V31="","",'Energy Data Input'!$V31)</f>
        <v/>
      </c>
      <c r="M31" s="102">
        <f>IF($H31="","",IFERROR(VLOOKUP($H31,'Base Settings'!$A$13:$K$19,5,FALSE),0.2))</f>
        <v/>
      </c>
      <c r="N31" s="102">
        <f>IF($B31="","",IF('Energy Data Input'!$L31="","Missing reading",IF($I31=0,"Stalled reading / possibly offline",IF($K31&gt;=IFERROR(VLOOKUP($H31,'Base Settings'!$A$13:$K$19,6,FALSE),0.5),"Severe spike",IF($K31&gt;=$M31,"Usage spike",IF($K31&lt;=-IFERROR(VLOOKUP($H31,'Base Settings'!$A$13:$K$19,7,FALSE),0.3),"Usage drop",IF($L31&gt;IFERROR(VLOOKUP($H31,'Base Settings'!$A$13:$K$19,8,FALSE),999999),"Area intensity overrun","Normal")))))))</f>
        <v/>
      </c>
      <c r="O31" s="102">
        <f>IF($N31="","",IF($N31="Normal","Normal",IF(OR($N31="Severe spike",$K31&gt;=IFERROR(VLOOKUP($H31,'Base Settings'!$A$13:$K$19,6,FALSE),0.5)),"Severe",IF(OR($N31="Usage spike",$N31="Usage drop"),"High","Medium"))))</f>
        <v/>
      </c>
      <c r="P31" s="144">
        <f>IF(OR($N31="",$N31="Normal"),0,ABS($I31-$J31)*'Energy Data Input'!$O31)</f>
        <v/>
      </c>
      <c r="Q31" s="102">
        <f>IF($N31="Normal","",IF($N31="Stalled reading / possibly offline","核查表计通信/Electricity池/网关/阀门Status",IF(AND($H31="Water",$N31&lt;&gt;"Normal"),"检查管网、阀门、卫生间、冷却塔及夜间最小流量",IF(AND($H31="Electricity",$N31&lt;&gt;"Normal"),"检查空调、照明、生产设备、PeakOff-peak时段与待机功耗",IF(AND($H31="Gas",$N31&lt;&gt;"Normal"),"检查燃Gas阀门、锅炉/厨房设备与泄漏风险","核查设备工况、排班、产量与计量数据")))))</f>
        <v/>
      </c>
      <c r="R31" s="102">
        <f>IF($H31="","",IFERROR(VLOOKUP($H31,'Base Settings'!$A$13:$K$19,11,FALSE),"Energy management owner"))</f>
        <v/>
      </c>
      <c r="S31" s="102">
        <f>IF($N31="","",IF($N31="Normal","No action needed","Open"))</f>
        <v/>
      </c>
      <c r="T31" s="141">
        <f>IF(OR($B31="",$N31="Normal"),"",WORKDAY($B31,IF($O31="Severe",1,IF($O31="High",2,3))))</f>
        <v/>
      </c>
      <c r="U31" s="102">
        <f>IF($T31="","",IF(AND($S31&lt;&gt;"Closed",TODAY()&gt;$T31),"Overdue","Not overdue"))</f>
        <v/>
      </c>
      <c r="V31" s="102" t="n"/>
      <c r="W31" s="141" t="n"/>
      <c r="X31" s="102" t="n"/>
    </row>
    <row r="32">
      <c r="A32" s="102">
        <f>IF('Energy Data Input'!$A32="","","AL-"&amp;TEXT(ROW()-5,"0000"))</f>
        <v/>
      </c>
      <c r="B32" s="141">
        <f>IF('Energy Data Input'!$B32="","",'Energy Data Input'!$B32)</f>
        <v/>
      </c>
      <c r="C32" s="102">
        <f>IF('Energy Data Input'!$C32="","",'Energy Data Input'!$C32)</f>
        <v/>
      </c>
      <c r="D32" s="102">
        <f>IF('Energy Data Input'!$D32="","",'Energy Data Input'!$D32)</f>
        <v/>
      </c>
      <c r="E32" s="102">
        <f>IF('Energy Data Input'!$E32="","",'Energy Data Input'!$E32)</f>
        <v/>
      </c>
      <c r="F32" s="102">
        <f>IF('Energy Data Input'!$G32="","",'Energy Data Input'!$G32)</f>
        <v/>
      </c>
      <c r="G32" s="102">
        <f>IF('Energy Data Input'!$H32="","",'Energy Data Input'!$H32)</f>
        <v/>
      </c>
      <c r="H32" s="102">
        <f>IF('Energy Data Input'!$J32="","",'Energy Data Input'!$J32)</f>
        <v/>
      </c>
      <c r="I32" s="142">
        <f>IF('Energy Data Input'!$N32="","",'Energy Data Input'!$N32)</f>
        <v/>
      </c>
      <c r="J32" s="142">
        <f>IF($B32="","",IFERROR(AVERAGEIFS('Energy Data Input'!$N$6:$N$205,'Energy Data Input'!$B$6:$B$205,"&gt;="&amp;$B32-7,'Energy Data Input'!$B$6:$B$205,"&lt;"&amp;$B32,'Energy Data Input'!$H$6:$H$205,$G32,'Energy Data Input'!$J$6:$J$205,$H32),$I32))</f>
        <v/>
      </c>
      <c r="K32" s="143">
        <f>IFERROR(($I32-$J32)/$J32,"")</f>
        <v/>
      </c>
      <c r="L32" s="102">
        <f>IF('Energy Data Input'!$V32="","",'Energy Data Input'!$V32)</f>
        <v/>
      </c>
      <c r="M32" s="102">
        <f>IF($H32="","",IFERROR(VLOOKUP($H32,'Base Settings'!$A$13:$K$19,5,FALSE),0.2))</f>
        <v/>
      </c>
      <c r="N32" s="102">
        <f>IF($B32="","",IF('Energy Data Input'!$L32="","Missing reading",IF($I32=0,"Stalled reading / possibly offline",IF($K32&gt;=IFERROR(VLOOKUP($H32,'Base Settings'!$A$13:$K$19,6,FALSE),0.5),"Severe spike",IF($K32&gt;=$M32,"Usage spike",IF($K32&lt;=-IFERROR(VLOOKUP($H32,'Base Settings'!$A$13:$K$19,7,FALSE),0.3),"Usage drop",IF($L32&gt;IFERROR(VLOOKUP($H32,'Base Settings'!$A$13:$K$19,8,FALSE),999999),"Area intensity overrun","Normal")))))))</f>
        <v/>
      </c>
      <c r="O32" s="102">
        <f>IF($N32="","",IF($N32="Normal","Normal",IF(OR($N32="Severe spike",$K32&gt;=IFERROR(VLOOKUP($H32,'Base Settings'!$A$13:$K$19,6,FALSE),0.5)),"Severe",IF(OR($N32="Usage spike",$N32="Usage drop"),"High","Medium"))))</f>
        <v/>
      </c>
      <c r="P32" s="144">
        <f>IF(OR($N32="",$N32="Normal"),0,ABS($I32-$J32)*'Energy Data Input'!$O32)</f>
        <v/>
      </c>
      <c r="Q32" s="102">
        <f>IF($N32="Normal","",IF($N32="Stalled reading / possibly offline","核查表计通信/Electricity池/网关/阀门Status",IF(AND($H32="Water",$N32&lt;&gt;"Normal"),"检查管网、阀门、卫生间、冷却塔及夜间最小流量",IF(AND($H32="Electricity",$N32&lt;&gt;"Normal"),"检查空调、照明、生产设备、PeakOff-peak时段与待机功耗",IF(AND($H32="Gas",$N32&lt;&gt;"Normal"),"检查燃Gas阀门、锅炉/厨房设备与泄漏风险","核查设备工况、排班、产量与计量数据")))))</f>
        <v/>
      </c>
      <c r="R32" s="102">
        <f>IF($H32="","",IFERROR(VLOOKUP($H32,'Base Settings'!$A$13:$K$19,11,FALSE),"Energy management owner"))</f>
        <v/>
      </c>
      <c r="S32" s="102">
        <f>IF($N32="","",IF($N32="Normal","No action needed","Open"))</f>
        <v/>
      </c>
      <c r="T32" s="141">
        <f>IF(OR($B32="",$N32="Normal"),"",WORKDAY($B32,IF($O32="Severe",1,IF($O32="High",2,3))))</f>
        <v/>
      </c>
      <c r="U32" s="102">
        <f>IF($T32="","",IF(AND($S32&lt;&gt;"Closed",TODAY()&gt;$T32),"Overdue","Not overdue"))</f>
        <v/>
      </c>
      <c r="V32" s="102" t="n"/>
      <c r="W32" s="141" t="n"/>
      <c r="X32" s="102" t="n"/>
    </row>
    <row r="33">
      <c r="A33" s="102">
        <f>IF('Energy Data Input'!$A33="","","AL-"&amp;TEXT(ROW()-5,"0000"))</f>
        <v/>
      </c>
      <c r="B33" s="141">
        <f>IF('Energy Data Input'!$B33="","",'Energy Data Input'!$B33)</f>
        <v/>
      </c>
      <c r="C33" s="102">
        <f>IF('Energy Data Input'!$C33="","",'Energy Data Input'!$C33)</f>
        <v/>
      </c>
      <c r="D33" s="102">
        <f>IF('Energy Data Input'!$D33="","",'Energy Data Input'!$D33)</f>
        <v/>
      </c>
      <c r="E33" s="102">
        <f>IF('Energy Data Input'!$E33="","",'Energy Data Input'!$E33)</f>
        <v/>
      </c>
      <c r="F33" s="102">
        <f>IF('Energy Data Input'!$G33="","",'Energy Data Input'!$G33)</f>
        <v/>
      </c>
      <c r="G33" s="102">
        <f>IF('Energy Data Input'!$H33="","",'Energy Data Input'!$H33)</f>
        <v/>
      </c>
      <c r="H33" s="102">
        <f>IF('Energy Data Input'!$J33="","",'Energy Data Input'!$J33)</f>
        <v/>
      </c>
      <c r="I33" s="142">
        <f>IF('Energy Data Input'!$N33="","",'Energy Data Input'!$N33)</f>
        <v/>
      </c>
      <c r="J33" s="142">
        <f>IF($B33="","",IFERROR(AVERAGEIFS('Energy Data Input'!$N$6:$N$205,'Energy Data Input'!$B$6:$B$205,"&gt;="&amp;$B33-7,'Energy Data Input'!$B$6:$B$205,"&lt;"&amp;$B33,'Energy Data Input'!$H$6:$H$205,$G33,'Energy Data Input'!$J$6:$J$205,$H33),$I33))</f>
        <v/>
      </c>
      <c r="K33" s="143">
        <f>IFERROR(($I33-$J33)/$J33,"")</f>
        <v/>
      </c>
      <c r="L33" s="102">
        <f>IF('Energy Data Input'!$V33="","",'Energy Data Input'!$V33)</f>
        <v/>
      </c>
      <c r="M33" s="102">
        <f>IF($H33="","",IFERROR(VLOOKUP($H33,'Base Settings'!$A$13:$K$19,5,FALSE),0.2))</f>
        <v/>
      </c>
      <c r="N33" s="102">
        <f>IF($B33="","",IF('Energy Data Input'!$L33="","Missing reading",IF($I33=0,"Stalled reading / possibly offline",IF($K33&gt;=IFERROR(VLOOKUP($H33,'Base Settings'!$A$13:$K$19,6,FALSE),0.5),"Severe spike",IF($K33&gt;=$M33,"Usage spike",IF($K33&lt;=-IFERROR(VLOOKUP($H33,'Base Settings'!$A$13:$K$19,7,FALSE),0.3),"Usage drop",IF($L33&gt;IFERROR(VLOOKUP($H33,'Base Settings'!$A$13:$K$19,8,FALSE),999999),"Area intensity overrun","Normal")))))))</f>
        <v/>
      </c>
      <c r="O33" s="102">
        <f>IF($N33="","",IF($N33="Normal","Normal",IF(OR($N33="Severe spike",$K33&gt;=IFERROR(VLOOKUP($H33,'Base Settings'!$A$13:$K$19,6,FALSE),0.5)),"Severe",IF(OR($N33="Usage spike",$N33="Usage drop"),"High","Medium"))))</f>
        <v/>
      </c>
      <c r="P33" s="144">
        <f>IF(OR($N33="",$N33="Normal"),0,ABS($I33-$J33)*'Energy Data Input'!$O33)</f>
        <v/>
      </c>
      <c r="Q33" s="102">
        <f>IF($N33="Normal","",IF($N33="Stalled reading / possibly offline","核查表计通信/Electricity池/网关/阀门Status",IF(AND($H33="Water",$N33&lt;&gt;"Normal"),"检查管网、阀门、卫生间、冷却塔及夜间最小流量",IF(AND($H33="Electricity",$N33&lt;&gt;"Normal"),"检查空调、照明、生产设备、PeakOff-peak时段与待机功耗",IF(AND($H33="Gas",$N33&lt;&gt;"Normal"),"检查燃Gas阀门、锅炉/厨房设备与泄漏风险","核查设备工况、排班、产量与计量数据")))))</f>
        <v/>
      </c>
      <c r="R33" s="102">
        <f>IF($H33="","",IFERROR(VLOOKUP($H33,'Base Settings'!$A$13:$K$19,11,FALSE),"Energy management owner"))</f>
        <v/>
      </c>
      <c r="S33" s="102">
        <f>IF($N33="","",IF($N33="Normal","No action needed","Open"))</f>
        <v/>
      </c>
      <c r="T33" s="141">
        <f>IF(OR($B33="",$N33="Normal"),"",WORKDAY($B33,IF($O33="Severe",1,IF($O33="High",2,3))))</f>
        <v/>
      </c>
      <c r="U33" s="102">
        <f>IF($T33="","",IF(AND($S33&lt;&gt;"Closed",TODAY()&gt;$T33),"Overdue","Not overdue"))</f>
        <v/>
      </c>
      <c r="V33" s="102" t="n"/>
      <c r="W33" s="141" t="n"/>
      <c r="X33" s="102" t="n"/>
    </row>
    <row r="34">
      <c r="A34" s="102">
        <f>IF('Energy Data Input'!$A34="","","AL-"&amp;TEXT(ROW()-5,"0000"))</f>
        <v/>
      </c>
      <c r="B34" s="141">
        <f>IF('Energy Data Input'!$B34="","",'Energy Data Input'!$B34)</f>
        <v/>
      </c>
      <c r="C34" s="102">
        <f>IF('Energy Data Input'!$C34="","",'Energy Data Input'!$C34)</f>
        <v/>
      </c>
      <c r="D34" s="102">
        <f>IF('Energy Data Input'!$D34="","",'Energy Data Input'!$D34)</f>
        <v/>
      </c>
      <c r="E34" s="102">
        <f>IF('Energy Data Input'!$E34="","",'Energy Data Input'!$E34)</f>
        <v/>
      </c>
      <c r="F34" s="102">
        <f>IF('Energy Data Input'!$G34="","",'Energy Data Input'!$G34)</f>
        <v/>
      </c>
      <c r="G34" s="102">
        <f>IF('Energy Data Input'!$H34="","",'Energy Data Input'!$H34)</f>
        <v/>
      </c>
      <c r="H34" s="102">
        <f>IF('Energy Data Input'!$J34="","",'Energy Data Input'!$J34)</f>
        <v/>
      </c>
      <c r="I34" s="142">
        <f>IF('Energy Data Input'!$N34="","",'Energy Data Input'!$N34)</f>
        <v/>
      </c>
      <c r="J34" s="142">
        <f>IF($B34="","",IFERROR(AVERAGEIFS('Energy Data Input'!$N$6:$N$205,'Energy Data Input'!$B$6:$B$205,"&gt;="&amp;$B34-7,'Energy Data Input'!$B$6:$B$205,"&lt;"&amp;$B34,'Energy Data Input'!$H$6:$H$205,$G34,'Energy Data Input'!$J$6:$J$205,$H34),$I34))</f>
        <v/>
      </c>
      <c r="K34" s="143">
        <f>IFERROR(($I34-$J34)/$J34,"")</f>
        <v/>
      </c>
      <c r="L34" s="102">
        <f>IF('Energy Data Input'!$V34="","",'Energy Data Input'!$V34)</f>
        <v/>
      </c>
      <c r="M34" s="102">
        <f>IF($H34="","",IFERROR(VLOOKUP($H34,'Base Settings'!$A$13:$K$19,5,FALSE),0.2))</f>
        <v/>
      </c>
      <c r="N34" s="102">
        <f>IF($B34="","",IF('Energy Data Input'!$L34="","Missing reading",IF($I34=0,"Stalled reading / possibly offline",IF($K34&gt;=IFERROR(VLOOKUP($H34,'Base Settings'!$A$13:$K$19,6,FALSE),0.5),"Severe spike",IF($K34&gt;=$M34,"Usage spike",IF($K34&lt;=-IFERROR(VLOOKUP($H34,'Base Settings'!$A$13:$K$19,7,FALSE),0.3),"Usage drop",IF($L34&gt;IFERROR(VLOOKUP($H34,'Base Settings'!$A$13:$K$19,8,FALSE),999999),"Area intensity overrun","Normal")))))))</f>
        <v/>
      </c>
      <c r="O34" s="102">
        <f>IF($N34="","",IF($N34="Normal","Normal",IF(OR($N34="Severe spike",$K34&gt;=IFERROR(VLOOKUP($H34,'Base Settings'!$A$13:$K$19,6,FALSE),0.5)),"Severe",IF(OR($N34="Usage spike",$N34="Usage drop"),"High","Medium"))))</f>
        <v/>
      </c>
      <c r="P34" s="144">
        <f>IF(OR($N34="",$N34="Normal"),0,ABS($I34-$J34)*'Energy Data Input'!$O34)</f>
        <v/>
      </c>
      <c r="Q34" s="102">
        <f>IF($N34="Normal","",IF($N34="Stalled reading / possibly offline","核查表计通信/Electricity池/网关/阀门Status",IF(AND($H34="Water",$N34&lt;&gt;"Normal"),"检查管网、阀门、卫生间、冷却塔及夜间最小流量",IF(AND($H34="Electricity",$N34&lt;&gt;"Normal"),"检查空调、照明、生产设备、PeakOff-peak时段与待机功耗",IF(AND($H34="Gas",$N34&lt;&gt;"Normal"),"检查燃Gas阀门、锅炉/厨房设备与泄漏风险","核查设备工况、排班、产量与计量数据")))))</f>
        <v/>
      </c>
      <c r="R34" s="102">
        <f>IF($H34="","",IFERROR(VLOOKUP($H34,'Base Settings'!$A$13:$K$19,11,FALSE),"Energy management owner"))</f>
        <v/>
      </c>
      <c r="S34" s="102">
        <f>IF($N34="","",IF($N34="Normal","No action needed","Open"))</f>
        <v/>
      </c>
      <c r="T34" s="141">
        <f>IF(OR($B34="",$N34="Normal"),"",WORKDAY($B34,IF($O34="Severe",1,IF($O34="High",2,3))))</f>
        <v/>
      </c>
      <c r="U34" s="102">
        <f>IF($T34="","",IF(AND($S34&lt;&gt;"Closed",TODAY()&gt;$T34),"Overdue","Not overdue"))</f>
        <v/>
      </c>
      <c r="V34" s="102" t="n"/>
      <c r="W34" s="141" t="n"/>
      <c r="X34" s="102" t="n"/>
    </row>
    <row r="35">
      <c r="A35" s="102">
        <f>IF('Energy Data Input'!$A35="","","AL-"&amp;TEXT(ROW()-5,"0000"))</f>
        <v/>
      </c>
      <c r="B35" s="141">
        <f>IF('Energy Data Input'!$B35="","",'Energy Data Input'!$B35)</f>
        <v/>
      </c>
      <c r="C35" s="102">
        <f>IF('Energy Data Input'!$C35="","",'Energy Data Input'!$C35)</f>
        <v/>
      </c>
      <c r="D35" s="102">
        <f>IF('Energy Data Input'!$D35="","",'Energy Data Input'!$D35)</f>
        <v/>
      </c>
      <c r="E35" s="102">
        <f>IF('Energy Data Input'!$E35="","",'Energy Data Input'!$E35)</f>
        <v/>
      </c>
      <c r="F35" s="102">
        <f>IF('Energy Data Input'!$G35="","",'Energy Data Input'!$G35)</f>
        <v/>
      </c>
      <c r="G35" s="102">
        <f>IF('Energy Data Input'!$H35="","",'Energy Data Input'!$H35)</f>
        <v/>
      </c>
      <c r="H35" s="102">
        <f>IF('Energy Data Input'!$J35="","",'Energy Data Input'!$J35)</f>
        <v/>
      </c>
      <c r="I35" s="142">
        <f>IF('Energy Data Input'!$N35="","",'Energy Data Input'!$N35)</f>
        <v/>
      </c>
      <c r="J35" s="142">
        <f>IF($B35="","",IFERROR(AVERAGEIFS('Energy Data Input'!$N$6:$N$205,'Energy Data Input'!$B$6:$B$205,"&gt;="&amp;$B35-7,'Energy Data Input'!$B$6:$B$205,"&lt;"&amp;$B35,'Energy Data Input'!$H$6:$H$205,$G35,'Energy Data Input'!$J$6:$J$205,$H35),$I35))</f>
        <v/>
      </c>
      <c r="K35" s="143">
        <f>IFERROR(($I35-$J35)/$J35,"")</f>
        <v/>
      </c>
      <c r="L35" s="102">
        <f>IF('Energy Data Input'!$V35="","",'Energy Data Input'!$V35)</f>
        <v/>
      </c>
      <c r="M35" s="102">
        <f>IF($H35="","",IFERROR(VLOOKUP($H35,'Base Settings'!$A$13:$K$19,5,FALSE),0.2))</f>
        <v/>
      </c>
      <c r="N35" s="102">
        <f>IF($B35="","",IF('Energy Data Input'!$L35="","Missing reading",IF($I35=0,"Stalled reading / possibly offline",IF($K35&gt;=IFERROR(VLOOKUP($H35,'Base Settings'!$A$13:$K$19,6,FALSE),0.5),"Severe spike",IF($K35&gt;=$M35,"Usage spike",IF($K35&lt;=-IFERROR(VLOOKUP($H35,'Base Settings'!$A$13:$K$19,7,FALSE),0.3),"Usage drop",IF($L35&gt;IFERROR(VLOOKUP($H35,'Base Settings'!$A$13:$K$19,8,FALSE),999999),"Area intensity overrun","Normal")))))))</f>
        <v/>
      </c>
      <c r="O35" s="102">
        <f>IF($N35="","",IF($N35="Normal","Normal",IF(OR($N35="Severe spike",$K35&gt;=IFERROR(VLOOKUP($H35,'Base Settings'!$A$13:$K$19,6,FALSE),0.5)),"Severe",IF(OR($N35="Usage spike",$N35="Usage drop"),"High","Medium"))))</f>
        <v/>
      </c>
      <c r="P35" s="144">
        <f>IF(OR($N35="",$N35="Normal"),0,ABS($I35-$J35)*'Energy Data Input'!$O35)</f>
        <v/>
      </c>
      <c r="Q35" s="102">
        <f>IF($N35="Normal","",IF($N35="Stalled reading / possibly offline","核查表计通信/Electricity池/网关/阀门Status",IF(AND($H35="Water",$N35&lt;&gt;"Normal"),"检查管网、阀门、卫生间、冷却塔及夜间最小流量",IF(AND($H35="Electricity",$N35&lt;&gt;"Normal"),"检查空调、照明、生产设备、PeakOff-peak时段与待机功耗",IF(AND($H35="Gas",$N35&lt;&gt;"Normal"),"检查燃Gas阀门、锅炉/厨房设备与泄漏风险","核查设备工况、排班、产量与计量数据")))))</f>
        <v/>
      </c>
      <c r="R35" s="102">
        <f>IF($H35="","",IFERROR(VLOOKUP($H35,'Base Settings'!$A$13:$K$19,11,FALSE),"Energy management owner"))</f>
        <v/>
      </c>
      <c r="S35" s="102">
        <f>IF($N35="","",IF($N35="Normal","No action needed","Open"))</f>
        <v/>
      </c>
      <c r="T35" s="141">
        <f>IF(OR($B35="",$N35="Normal"),"",WORKDAY($B35,IF($O35="Severe",1,IF($O35="High",2,3))))</f>
        <v/>
      </c>
      <c r="U35" s="102">
        <f>IF($T35="","",IF(AND($S35&lt;&gt;"Closed",TODAY()&gt;$T35),"Overdue","Not overdue"))</f>
        <v/>
      </c>
      <c r="V35" s="102" t="n"/>
      <c r="W35" s="141" t="n"/>
      <c r="X35" s="102" t="n"/>
    </row>
    <row r="36">
      <c r="A36" s="102">
        <f>IF('Energy Data Input'!$A36="","","AL-"&amp;TEXT(ROW()-5,"0000"))</f>
        <v/>
      </c>
      <c r="B36" s="141">
        <f>IF('Energy Data Input'!$B36="","",'Energy Data Input'!$B36)</f>
        <v/>
      </c>
      <c r="C36" s="102">
        <f>IF('Energy Data Input'!$C36="","",'Energy Data Input'!$C36)</f>
        <v/>
      </c>
      <c r="D36" s="102">
        <f>IF('Energy Data Input'!$D36="","",'Energy Data Input'!$D36)</f>
        <v/>
      </c>
      <c r="E36" s="102">
        <f>IF('Energy Data Input'!$E36="","",'Energy Data Input'!$E36)</f>
        <v/>
      </c>
      <c r="F36" s="102">
        <f>IF('Energy Data Input'!$G36="","",'Energy Data Input'!$G36)</f>
        <v/>
      </c>
      <c r="G36" s="102">
        <f>IF('Energy Data Input'!$H36="","",'Energy Data Input'!$H36)</f>
        <v/>
      </c>
      <c r="H36" s="102">
        <f>IF('Energy Data Input'!$J36="","",'Energy Data Input'!$J36)</f>
        <v/>
      </c>
      <c r="I36" s="142">
        <f>IF('Energy Data Input'!$N36="","",'Energy Data Input'!$N36)</f>
        <v/>
      </c>
      <c r="J36" s="142">
        <f>IF($B36="","",IFERROR(AVERAGEIFS('Energy Data Input'!$N$6:$N$205,'Energy Data Input'!$B$6:$B$205,"&gt;="&amp;$B36-7,'Energy Data Input'!$B$6:$B$205,"&lt;"&amp;$B36,'Energy Data Input'!$H$6:$H$205,$G36,'Energy Data Input'!$J$6:$J$205,$H36),$I36))</f>
        <v/>
      </c>
      <c r="K36" s="143">
        <f>IFERROR(($I36-$J36)/$J36,"")</f>
        <v/>
      </c>
      <c r="L36" s="102">
        <f>IF('Energy Data Input'!$V36="","",'Energy Data Input'!$V36)</f>
        <v/>
      </c>
      <c r="M36" s="102">
        <f>IF($H36="","",IFERROR(VLOOKUP($H36,'Base Settings'!$A$13:$K$19,5,FALSE),0.2))</f>
        <v/>
      </c>
      <c r="N36" s="102">
        <f>IF($B36="","",IF('Energy Data Input'!$L36="","Missing reading",IF($I36=0,"Stalled reading / possibly offline",IF($K36&gt;=IFERROR(VLOOKUP($H36,'Base Settings'!$A$13:$K$19,6,FALSE),0.5),"Severe spike",IF($K36&gt;=$M36,"Usage spike",IF($K36&lt;=-IFERROR(VLOOKUP($H36,'Base Settings'!$A$13:$K$19,7,FALSE),0.3),"Usage drop",IF($L36&gt;IFERROR(VLOOKUP($H36,'Base Settings'!$A$13:$K$19,8,FALSE),999999),"Area intensity overrun","Normal")))))))</f>
        <v/>
      </c>
      <c r="O36" s="102">
        <f>IF($N36="","",IF($N36="Normal","Normal",IF(OR($N36="Severe spike",$K36&gt;=IFERROR(VLOOKUP($H36,'Base Settings'!$A$13:$K$19,6,FALSE),0.5)),"Severe",IF(OR($N36="Usage spike",$N36="Usage drop"),"High","Medium"))))</f>
        <v/>
      </c>
      <c r="P36" s="144">
        <f>IF(OR($N36="",$N36="Normal"),0,ABS($I36-$J36)*'Energy Data Input'!$O36)</f>
        <v/>
      </c>
      <c r="Q36" s="102">
        <f>IF($N36="Normal","",IF($N36="Stalled reading / possibly offline","核查表计通信/Electricity池/网关/阀门Status",IF(AND($H36="Water",$N36&lt;&gt;"Normal"),"检查管网、阀门、卫生间、冷却塔及夜间最小流量",IF(AND($H36="Electricity",$N36&lt;&gt;"Normal"),"检查空调、照明、生产设备、PeakOff-peak时段与待机功耗",IF(AND($H36="Gas",$N36&lt;&gt;"Normal"),"检查燃Gas阀门、锅炉/厨房设备与泄漏风险","核查设备工况、排班、产量与计量数据")))))</f>
        <v/>
      </c>
      <c r="R36" s="102">
        <f>IF($H36="","",IFERROR(VLOOKUP($H36,'Base Settings'!$A$13:$K$19,11,FALSE),"Energy management owner"))</f>
        <v/>
      </c>
      <c r="S36" s="102">
        <f>IF($N36="","",IF($N36="Normal","No action needed","Open"))</f>
        <v/>
      </c>
      <c r="T36" s="141">
        <f>IF(OR($B36="",$N36="Normal"),"",WORKDAY($B36,IF($O36="Severe",1,IF($O36="High",2,3))))</f>
        <v/>
      </c>
      <c r="U36" s="102">
        <f>IF($T36="","",IF(AND($S36&lt;&gt;"Closed",TODAY()&gt;$T36),"Overdue","Not overdue"))</f>
        <v/>
      </c>
      <c r="V36" s="102" t="n"/>
      <c r="W36" s="141" t="n"/>
      <c r="X36" s="102" t="n"/>
    </row>
    <row r="37">
      <c r="A37" s="102">
        <f>IF('Energy Data Input'!$A37="","","AL-"&amp;TEXT(ROW()-5,"0000"))</f>
        <v/>
      </c>
      <c r="B37" s="141">
        <f>IF('Energy Data Input'!$B37="","",'Energy Data Input'!$B37)</f>
        <v/>
      </c>
      <c r="C37" s="102">
        <f>IF('Energy Data Input'!$C37="","",'Energy Data Input'!$C37)</f>
        <v/>
      </c>
      <c r="D37" s="102">
        <f>IF('Energy Data Input'!$D37="","",'Energy Data Input'!$D37)</f>
        <v/>
      </c>
      <c r="E37" s="102">
        <f>IF('Energy Data Input'!$E37="","",'Energy Data Input'!$E37)</f>
        <v/>
      </c>
      <c r="F37" s="102">
        <f>IF('Energy Data Input'!$G37="","",'Energy Data Input'!$G37)</f>
        <v/>
      </c>
      <c r="G37" s="102">
        <f>IF('Energy Data Input'!$H37="","",'Energy Data Input'!$H37)</f>
        <v/>
      </c>
      <c r="H37" s="102">
        <f>IF('Energy Data Input'!$J37="","",'Energy Data Input'!$J37)</f>
        <v/>
      </c>
      <c r="I37" s="142">
        <f>IF('Energy Data Input'!$N37="","",'Energy Data Input'!$N37)</f>
        <v/>
      </c>
      <c r="J37" s="142">
        <f>IF($B37="","",IFERROR(AVERAGEIFS('Energy Data Input'!$N$6:$N$205,'Energy Data Input'!$B$6:$B$205,"&gt;="&amp;$B37-7,'Energy Data Input'!$B$6:$B$205,"&lt;"&amp;$B37,'Energy Data Input'!$H$6:$H$205,$G37,'Energy Data Input'!$J$6:$J$205,$H37),$I37))</f>
        <v/>
      </c>
      <c r="K37" s="143">
        <f>IFERROR(($I37-$J37)/$J37,"")</f>
        <v/>
      </c>
      <c r="L37" s="102">
        <f>IF('Energy Data Input'!$V37="","",'Energy Data Input'!$V37)</f>
        <v/>
      </c>
      <c r="M37" s="102">
        <f>IF($H37="","",IFERROR(VLOOKUP($H37,'Base Settings'!$A$13:$K$19,5,FALSE),0.2))</f>
        <v/>
      </c>
      <c r="N37" s="102">
        <f>IF($B37="","",IF('Energy Data Input'!$L37="","Missing reading",IF($I37=0,"Stalled reading / possibly offline",IF($K37&gt;=IFERROR(VLOOKUP($H37,'Base Settings'!$A$13:$K$19,6,FALSE),0.5),"Severe spike",IF($K37&gt;=$M37,"Usage spike",IF($K37&lt;=-IFERROR(VLOOKUP($H37,'Base Settings'!$A$13:$K$19,7,FALSE),0.3),"Usage drop",IF($L37&gt;IFERROR(VLOOKUP($H37,'Base Settings'!$A$13:$K$19,8,FALSE),999999),"Area intensity overrun","Normal")))))))</f>
        <v/>
      </c>
      <c r="O37" s="102">
        <f>IF($N37="","",IF($N37="Normal","Normal",IF(OR($N37="Severe spike",$K37&gt;=IFERROR(VLOOKUP($H37,'Base Settings'!$A$13:$K$19,6,FALSE),0.5)),"Severe",IF(OR($N37="Usage spike",$N37="Usage drop"),"High","Medium"))))</f>
        <v/>
      </c>
      <c r="P37" s="144">
        <f>IF(OR($N37="",$N37="Normal"),0,ABS($I37-$J37)*'Energy Data Input'!$O37)</f>
        <v/>
      </c>
      <c r="Q37" s="102">
        <f>IF($N37="Normal","",IF($N37="Stalled reading / possibly offline","核查表计通信/Electricity池/网关/阀门Status",IF(AND($H37="Water",$N37&lt;&gt;"Normal"),"检查管网、阀门、卫生间、冷却塔及夜间最小流量",IF(AND($H37="Electricity",$N37&lt;&gt;"Normal"),"检查空调、照明、生产设备、PeakOff-peak时段与待机功耗",IF(AND($H37="Gas",$N37&lt;&gt;"Normal"),"检查燃Gas阀门、锅炉/厨房设备与泄漏风险","核查设备工况、排班、产量与计量数据")))))</f>
        <v/>
      </c>
      <c r="R37" s="102">
        <f>IF($H37="","",IFERROR(VLOOKUP($H37,'Base Settings'!$A$13:$K$19,11,FALSE),"Energy management owner"))</f>
        <v/>
      </c>
      <c r="S37" s="102">
        <f>IF($N37="","",IF($N37="Normal","No action needed","Open"))</f>
        <v/>
      </c>
      <c r="T37" s="141">
        <f>IF(OR($B37="",$N37="Normal"),"",WORKDAY($B37,IF($O37="Severe",1,IF($O37="High",2,3))))</f>
        <v/>
      </c>
      <c r="U37" s="102">
        <f>IF($T37="","",IF(AND($S37&lt;&gt;"Closed",TODAY()&gt;$T37),"Overdue","Not overdue"))</f>
        <v/>
      </c>
      <c r="V37" s="102" t="n"/>
      <c r="W37" s="141" t="n"/>
      <c r="X37" s="102" t="n"/>
    </row>
    <row r="38">
      <c r="A38" s="102">
        <f>IF('Energy Data Input'!$A38="","","AL-"&amp;TEXT(ROW()-5,"0000"))</f>
        <v/>
      </c>
      <c r="B38" s="141">
        <f>IF('Energy Data Input'!$B38="","",'Energy Data Input'!$B38)</f>
        <v/>
      </c>
      <c r="C38" s="102">
        <f>IF('Energy Data Input'!$C38="","",'Energy Data Input'!$C38)</f>
        <v/>
      </c>
      <c r="D38" s="102">
        <f>IF('Energy Data Input'!$D38="","",'Energy Data Input'!$D38)</f>
        <v/>
      </c>
      <c r="E38" s="102">
        <f>IF('Energy Data Input'!$E38="","",'Energy Data Input'!$E38)</f>
        <v/>
      </c>
      <c r="F38" s="102">
        <f>IF('Energy Data Input'!$G38="","",'Energy Data Input'!$G38)</f>
        <v/>
      </c>
      <c r="G38" s="102">
        <f>IF('Energy Data Input'!$H38="","",'Energy Data Input'!$H38)</f>
        <v/>
      </c>
      <c r="H38" s="102">
        <f>IF('Energy Data Input'!$J38="","",'Energy Data Input'!$J38)</f>
        <v/>
      </c>
      <c r="I38" s="142">
        <f>IF('Energy Data Input'!$N38="","",'Energy Data Input'!$N38)</f>
        <v/>
      </c>
      <c r="J38" s="142">
        <f>IF($B38="","",IFERROR(AVERAGEIFS('Energy Data Input'!$N$6:$N$205,'Energy Data Input'!$B$6:$B$205,"&gt;="&amp;$B38-7,'Energy Data Input'!$B$6:$B$205,"&lt;"&amp;$B38,'Energy Data Input'!$H$6:$H$205,$G38,'Energy Data Input'!$J$6:$J$205,$H38),$I38))</f>
        <v/>
      </c>
      <c r="K38" s="143">
        <f>IFERROR(($I38-$J38)/$J38,"")</f>
        <v/>
      </c>
      <c r="L38" s="102">
        <f>IF('Energy Data Input'!$V38="","",'Energy Data Input'!$V38)</f>
        <v/>
      </c>
      <c r="M38" s="102">
        <f>IF($H38="","",IFERROR(VLOOKUP($H38,'Base Settings'!$A$13:$K$19,5,FALSE),0.2))</f>
        <v/>
      </c>
      <c r="N38" s="102">
        <f>IF($B38="","",IF('Energy Data Input'!$L38="","Missing reading",IF($I38=0,"Stalled reading / possibly offline",IF($K38&gt;=IFERROR(VLOOKUP($H38,'Base Settings'!$A$13:$K$19,6,FALSE),0.5),"Severe spike",IF($K38&gt;=$M38,"Usage spike",IF($K38&lt;=-IFERROR(VLOOKUP($H38,'Base Settings'!$A$13:$K$19,7,FALSE),0.3),"Usage drop",IF($L38&gt;IFERROR(VLOOKUP($H38,'Base Settings'!$A$13:$K$19,8,FALSE),999999),"Area intensity overrun","Normal")))))))</f>
        <v/>
      </c>
      <c r="O38" s="102">
        <f>IF($N38="","",IF($N38="Normal","Normal",IF(OR($N38="Severe spike",$K38&gt;=IFERROR(VLOOKUP($H38,'Base Settings'!$A$13:$K$19,6,FALSE),0.5)),"Severe",IF(OR($N38="Usage spike",$N38="Usage drop"),"High","Medium"))))</f>
        <v/>
      </c>
      <c r="P38" s="144">
        <f>IF(OR($N38="",$N38="Normal"),0,ABS($I38-$J38)*'Energy Data Input'!$O38)</f>
        <v/>
      </c>
      <c r="Q38" s="102">
        <f>IF($N38="Normal","",IF($N38="Stalled reading / possibly offline","核查表计通信/Electricity池/网关/阀门Status",IF(AND($H38="Water",$N38&lt;&gt;"Normal"),"检查管网、阀门、卫生间、冷却塔及夜间最小流量",IF(AND($H38="Electricity",$N38&lt;&gt;"Normal"),"检查空调、照明、生产设备、PeakOff-peak时段与待机功耗",IF(AND($H38="Gas",$N38&lt;&gt;"Normal"),"检查燃Gas阀门、锅炉/厨房设备与泄漏风险","核查设备工况、排班、产量与计量数据")))))</f>
        <v/>
      </c>
      <c r="R38" s="102">
        <f>IF($H38="","",IFERROR(VLOOKUP($H38,'Base Settings'!$A$13:$K$19,11,FALSE),"Energy management owner"))</f>
        <v/>
      </c>
      <c r="S38" s="102">
        <f>IF($N38="","",IF($N38="Normal","No action needed","Open"))</f>
        <v/>
      </c>
      <c r="T38" s="141">
        <f>IF(OR($B38="",$N38="Normal"),"",WORKDAY($B38,IF($O38="Severe",1,IF($O38="High",2,3))))</f>
        <v/>
      </c>
      <c r="U38" s="102">
        <f>IF($T38="","",IF(AND($S38&lt;&gt;"Closed",TODAY()&gt;$T38),"Overdue","Not overdue"))</f>
        <v/>
      </c>
      <c r="V38" s="102" t="n"/>
      <c r="W38" s="141" t="n"/>
      <c r="X38" s="102" t="n"/>
    </row>
    <row r="39">
      <c r="A39" s="102">
        <f>IF('Energy Data Input'!$A39="","","AL-"&amp;TEXT(ROW()-5,"0000"))</f>
        <v/>
      </c>
      <c r="B39" s="141">
        <f>IF('Energy Data Input'!$B39="","",'Energy Data Input'!$B39)</f>
        <v/>
      </c>
      <c r="C39" s="102">
        <f>IF('Energy Data Input'!$C39="","",'Energy Data Input'!$C39)</f>
        <v/>
      </c>
      <c r="D39" s="102">
        <f>IF('Energy Data Input'!$D39="","",'Energy Data Input'!$D39)</f>
        <v/>
      </c>
      <c r="E39" s="102">
        <f>IF('Energy Data Input'!$E39="","",'Energy Data Input'!$E39)</f>
        <v/>
      </c>
      <c r="F39" s="102">
        <f>IF('Energy Data Input'!$G39="","",'Energy Data Input'!$G39)</f>
        <v/>
      </c>
      <c r="G39" s="102">
        <f>IF('Energy Data Input'!$H39="","",'Energy Data Input'!$H39)</f>
        <v/>
      </c>
      <c r="H39" s="102">
        <f>IF('Energy Data Input'!$J39="","",'Energy Data Input'!$J39)</f>
        <v/>
      </c>
      <c r="I39" s="142">
        <f>IF('Energy Data Input'!$N39="","",'Energy Data Input'!$N39)</f>
        <v/>
      </c>
      <c r="J39" s="142">
        <f>IF($B39="","",IFERROR(AVERAGEIFS('Energy Data Input'!$N$6:$N$205,'Energy Data Input'!$B$6:$B$205,"&gt;="&amp;$B39-7,'Energy Data Input'!$B$6:$B$205,"&lt;"&amp;$B39,'Energy Data Input'!$H$6:$H$205,$G39,'Energy Data Input'!$J$6:$J$205,$H39),$I39))</f>
        <v/>
      </c>
      <c r="K39" s="143">
        <f>IFERROR(($I39-$J39)/$J39,"")</f>
        <v/>
      </c>
      <c r="L39" s="102">
        <f>IF('Energy Data Input'!$V39="","",'Energy Data Input'!$V39)</f>
        <v/>
      </c>
      <c r="M39" s="102">
        <f>IF($H39="","",IFERROR(VLOOKUP($H39,'Base Settings'!$A$13:$K$19,5,FALSE),0.2))</f>
        <v/>
      </c>
      <c r="N39" s="102">
        <f>IF($B39="","",IF('Energy Data Input'!$L39="","Missing reading",IF($I39=0,"Stalled reading / possibly offline",IF($K39&gt;=IFERROR(VLOOKUP($H39,'Base Settings'!$A$13:$K$19,6,FALSE),0.5),"Severe spike",IF($K39&gt;=$M39,"Usage spike",IF($K39&lt;=-IFERROR(VLOOKUP($H39,'Base Settings'!$A$13:$K$19,7,FALSE),0.3),"Usage drop",IF($L39&gt;IFERROR(VLOOKUP($H39,'Base Settings'!$A$13:$K$19,8,FALSE),999999),"Area intensity overrun","Normal")))))))</f>
        <v/>
      </c>
      <c r="O39" s="102">
        <f>IF($N39="","",IF($N39="Normal","Normal",IF(OR($N39="Severe spike",$K39&gt;=IFERROR(VLOOKUP($H39,'Base Settings'!$A$13:$K$19,6,FALSE),0.5)),"Severe",IF(OR($N39="Usage spike",$N39="Usage drop"),"High","Medium"))))</f>
        <v/>
      </c>
      <c r="P39" s="144">
        <f>IF(OR($N39="",$N39="Normal"),0,ABS($I39-$J39)*'Energy Data Input'!$O39)</f>
        <v/>
      </c>
      <c r="Q39" s="102">
        <f>IF($N39="Normal","",IF($N39="Stalled reading / possibly offline","核查表计通信/Electricity池/网关/阀门Status",IF(AND($H39="Water",$N39&lt;&gt;"Normal"),"检查管网、阀门、卫生间、冷却塔及夜间最小流量",IF(AND($H39="Electricity",$N39&lt;&gt;"Normal"),"检查空调、照明、生产设备、PeakOff-peak时段与待机功耗",IF(AND($H39="Gas",$N39&lt;&gt;"Normal"),"检查燃Gas阀门、锅炉/厨房设备与泄漏风险","核查设备工况、排班、产量与计量数据")))))</f>
        <v/>
      </c>
      <c r="R39" s="102">
        <f>IF($H39="","",IFERROR(VLOOKUP($H39,'Base Settings'!$A$13:$K$19,11,FALSE),"Energy management owner"))</f>
        <v/>
      </c>
      <c r="S39" s="102">
        <f>IF($N39="","",IF($N39="Normal","No action needed","Open"))</f>
        <v/>
      </c>
      <c r="T39" s="141">
        <f>IF(OR($B39="",$N39="Normal"),"",WORKDAY($B39,IF($O39="Severe",1,IF($O39="High",2,3))))</f>
        <v/>
      </c>
      <c r="U39" s="102">
        <f>IF($T39="","",IF(AND($S39&lt;&gt;"Closed",TODAY()&gt;$T39),"Overdue","Not overdue"))</f>
        <v/>
      </c>
      <c r="V39" s="102" t="n"/>
      <c r="W39" s="141" t="n"/>
      <c r="X39" s="102" t="n"/>
    </row>
    <row r="40">
      <c r="A40" s="102">
        <f>IF('Energy Data Input'!$A40="","","AL-"&amp;TEXT(ROW()-5,"0000"))</f>
        <v/>
      </c>
      <c r="B40" s="141">
        <f>IF('Energy Data Input'!$B40="","",'Energy Data Input'!$B40)</f>
        <v/>
      </c>
      <c r="C40" s="102">
        <f>IF('Energy Data Input'!$C40="","",'Energy Data Input'!$C40)</f>
        <v/>
      </c>
      <c r="D40" s="102">
        <f>IF('Energy Data Input'!$D40="","",'Energy Data Input'!$D40)</f>
        <v/>
      </c>
      <c r="E40" s="102">
        <f>IF('Energy Data Input'!$E40="","",'Energy Data Input'!$E40)</f>
        <v/>
      </c>
      <c r="F40" s="102">
        <f>IF('Energy Data Input'!$G40="","",'Energy Data Input'!$G40)</f>
        <v/>
      </c>
      <c r="G40" s="102">
        <f>IF('Energy Data Input'!$H40="","",'Energy Data Input'!$H40)</f>
        <v/>
      </c>
      <c r="H40" s="102">
        <f>IF('Energy Data Input'!$J40="","",'Energy Data Input'!$J40)</f>
        <v/>
      </c>
      <c r="I40" s="142">
        <f>IF('Energy Data Input'!$N40="","",'Energy Data Input'!$N40)</f>
        <v/>
      </c>
      <c r="J40" s="142">
        <f>IF($B40="","",IFERROR(AVERAGEIFS('Energy Data Input'!$N$6:$N$205,'Energy Data Input'!$B$6:$B$205,"&gt;="&amp;$B40-7,'Energy Data Input'!$B$6:$B$205,"&lt;"&amp;$B40,'Energy Data Input'!$H$6:$H$205,$G40,'Energy Data Input'!$J$6:$J$205,$H40),$I40))</f>
        <v/>
      </c>
      <c r="K40" s="143">
        <f>IFERROR(($I40-$J40)/$J40,"")</f>
        <v/>
      </c>
      <c r="L40" s="102">
        <f>IF('Energy Data Input'!$V40="","",'Energy Data Input'!$V40)</f>
        <v/>
      </c>
      <c r="M40" s="102">
        <f>IF($H40="","",IFERROR(VLOOKUP($H40,'Base Settings'!$A$13:$K$19,5,FALSE),0.2))</f>
        <v/>
      </c>
      <c r="N40" s="102">
        <f>IF($B40="","",IF('Energy Data Input'!$L40="","Missing reading",IF($I40=0,"Stalled reading / possibly offline",IF($K40&gt;=IFERROR(VLOOKUP($H40,'Base Settings'!$A$13:$K$19,6,FALSE),0.5),"Severe spike",IF($K40&gt;=$M40,"Usage spike",IF($K40&lt;=-IFERROR(VLOOKUP($H40,'Base Settings'!$A$13:$K$19,7,FALSE),0.3),"Usage drop",IF($L40&gt;IFERROR(VLOOKUP($H40,'Base Settings'!$A$13:$K$19,8,FALSE),999999),"Area intensity overrun","Normal")))))))</f>
        <v/>
      </c>
      <c r="O40" s="102">
        <f>IF($N40="","",IF($N40="Normal","Normal",IF(OR($N40="Severe spike",$K40&gt;=IFERROR(VLOOKUP($H40,'Base Settings'!$A$13:$K$19,6,FALSE),0.5)),"Severe",IF(OR($N40="Usage spike",$N40="Usage drop"),"High","Medium"))))</f>
        <v/>
      </c>
      <c r="P40" s="144">
        <f>IF(OR($N40="",$N40="Normal"),0,ABS($I40-$J40)*'Energy Data Input'!$O40)</f>
        <v/>
      </c>
      <c r="Q40" s="102">
        <f>IF($N40="Normal","",IF($N40="Stalled reading / possibly offline","核查表计通信/Electricity池/网关/阀门Status",IF(AND($H40="Water",$N40&lt;&gt;"Normal"),"检查管网、阀门、卫生间、冷却塔及夜间最小流量",IF(AND($H40="Electricity",$N40&lt;&gt;"Normal"),"检查空调、照明、生产设备、PeakOff-peak时段与待机功耗",IF(AND($H40="Gas",$N40&lt;&gt;"Normal"),"检查燃Gas阀门、锅炉/厨房设备与泄漏风险","核查设备工况、排班、产量与计量数据")))))</f>
        <v/>
      </c>
      <c r="R40" s="102">
        <f>IF($H40="","",IFERROR(VLOOKUP($H40,'Base Settings'!$A$13:$K$19,11,FALSE),"Energy management owner"))</f>
        <v/>
      </c>
      <c r="S40" s="102">
        <f>IF($N40="","",IF($N40="Normal","No action needed","Open"))</f>
        <v/>
      </c>
      <c r="T40" s="141">
        <f>IF(OR($B40="",$N40="Normal"),"",WORKDAY($B40,IF($O40="Severe",1,IF($O40="High",2,3))))</f>
        <v/>
      </c>
      <c r="U40" s="102">
        <f>IF($T40="","",IF(AND($S40&lt;&gt;"Closed",TODAY()&gt;$T40),"Overdue","Not overdue"))</f>
        <v/>
      </c>
      <c r="V40" s="102" t="n"/>
      <c r="W40" s="141" t="n"/>
      <c r="X40" s="102" t="n"/>
    </row>
    <row r="41">
      <c r="A41" s="102">
        <f>IF('Energy Data Input'!$A41="","","AL-"&amp;TEXT(ROW()-5,"0000"))</f>
        <v/>
      </c>
      <c r="B41" s="141">
        <f>IF('Energy Data Input'!$B41="","",'Energy Data Input'!$B41)</f>
        <v/>
      </c>
      <c r="C41" s="102">
        <f>IF('Energy Data Input'!$C41="","",'Energy Data Input'!$C41)</f>
        <v/>
      </c>
      <c r="D41" s="102">
        <f>IF('Energy Data Input'!$D41="","",'Energy Data Input'!$D41)</f>
        <v/>
      </c>
      <c r="E41" s="102">
        <f>IF('Energy Data Input'!$E41="","",'Energy Data Input'!$E41)</f>
        <v/>
      </c>
      <c r="F41" s="102">
        <f>IF('Energy Data Input'!$G41="","",'Energy Data Input'!$G41)</f>
        <v/>
      </c>
      <c r="G41" s="102">
        <f>IF('Energy Data Input'!$H41="","",'Energy Data Input'!$H41)</f>
        <v/>
      </c>
      <c r="H41" s="102">
        <f>IF('Energy Data Input'!$J41="","",'Energy Data Input'!$J41)</f>
        <v/>
      </c>
      <c r="I41" s="142">
        <f>IF('Energy Data Input'!$N41="","",'Energy Data Input'!$N41)</f>
        <v/>
      </c>
      <c r="J41" s="142">
        <f>IF($B41="","",IFERROR(AVERAGEIFS('Energy Data Input'!$N$6:$N$205,'Energy Data Input'!$B$6:$B$205,"&gt;="&amp;$B41-7,'Energy Data Input'!$B$6:$B$205,"&lt;"&amp;$B41,'Energy Data Input'!$H$6:$H$205,$G41,'Energy Data Input'!$J$6:$J$205,$H41),$I41))</f>
        <v/>
      </c>
      <c r="K41" s="143">
        <f>IFERROR(($I41-$J41)/$J41,"")</f>
        <v/>
      </c>
      <c r="L41" s="102">
        <f>IF('Energy Data Input'!$V41="","",'Energy Data Input'!$V41)</f>
        <v/>
      </c>
      <c r="M41" s="102">
        <f>IF($H41="","",IFERROR(VLOOKUP($H41,'Base Settings'!$A$13:$K$19,5,FALSE),0.2))</f>
        <v/>
      </c>
      <c r="N41" s="102">
        <f>IF($B41="","",IF('Energy Data Input'!$L41="","Missing reading",IF($I41=0,"Stalled reading / possibly offline",IF($K41&gt;=IFERROR(VLOOKUP($H41,'Base Settings'!$A$13:$K$19,6,FALSE),0.5),"Severe spike",IF($K41&gt;=$M41,"Usage spike",IF($K41&lt;=-IFERROR(VLOOKUP($H41,'Base Settings'!$A$13:$K$19,7,FALSE),0.3),"Usage drop",IF($L41&gt;IFERROR(VLOOKUP($H41,'Base Settings'!$A$13:$K$19,8,FALSE),999999),"Area intensity overrun","Normal")))))))</f>
        <v/>
      </c>
      <c r="O41" s="102">
        <f>IF($N41="","",IF($N41="Normal","Normal",IF(OR($N41="Severe spike",$K41&gt;=IFERROR(VLOOKUP($H41,'Base Settings'!$A$13:$K$19,6,FALSE),0.5)),"Severe",IF(OR($N41="Usage spike",$N41="Usage drop"),"High","Medium"))))</f>
        <v/>
      </c>
      <c r="P41" s="144">
        <f>IF(OR($N41="",$N41="Normal"),0,ABS($I41-$J41)*'Energy Data Input'!$O41)</f>
        <v/>
      </c>
      <c r="Q41" s="102">
        <f>IF($N41="Normal","",IF($N41="Stalled reading / possibly offline","核查表计通信/Electricity池/网关/阀门Status",IF(AND($H41="Water",$N41&lt;&gt;"Normal"),"检查管网、阀门、卫生间、冷却塔及夜间最小流量",IF(AND($H41="Electricity",$N41&lt;&gt;"Normal"),"检查空调、照明、生产设备、PeakOff-peak时段与待机功耗",IF(AND($H41="Gas",$N41&lt;&gt;"Normal"),"检查燃Gas阀门、锅炉/厨房设备与泄漏风险","核查设备工况、排班、产量与计量数据")))))</f>
        <v/>
      </c>
      <c r="R41" s="102">
        <f>IF($H41="","",IFERROR(VLOOKUP($H41,'Base Settings'!$A$13:$K$19,11,FALSE),"Energy management owner"))</f>
        <v/>
      </c>
      <c r="S41" s="102">
        <f>IF($N41="","",IF($N41="Normal","No action needed","Open"))</f>
        <v/>
      </c>
      <c r="T41" s="141">
        <f>IF(OR($B41="",$N41="Normal"),"",WORKDAY($B41,IF($O41="Severe",1,IF($O41="High",2,3))))</f>
        <v/>
      </c>
      <c r="U41" s="102">
        <f>IF($T41="","",IF(AND($S41&lt;&gt;"Closed",TODAY()&gt;$T41),"Overdue","Not overdue"))</f>
        <v/>
      </c>
      <c r="V41" s="102" t="n"/>
      <c r="W41" s="141" t="n"/>
      <c r="X41" s="102" t="n"/>
    </row>
    <row r="42">
      <c r="A42" s="102">
        <f>IF('Energy Data Input'!$A42="","","AL-"&amp;TEXT(ROW()-5,"0000"))</f>
        <v/>
      </c>
      <c r="B42" s="141">
        <f>IF('Energy Data Input'!$B42="","",'Energy Data Input'!$B42)</f>
        <v/>
      </c>
      <c r="C42" s="102">
        <f>IF('Energy Data Input'!$C42="","",'Energy Data Input'!$C42)</f>
        <v/>
      </c>
      <c r="D42" s="102">
        <f>IF('Energy Data Input'!$D42="","",'Energy Data Input'!$D42)</f>
        <v/>
      </c>
      <c r="E42" s="102">
        <f>IF('Energy Data Input'!$E42="","",'Energy Data Input'!$E42)</f>
        <v/>
      </c>
      <c r="F42" s="102">
        <f>IF('Energy Data Input'!$G42="","",'Energy Data Input'!$G42)</f>
        <v/>
      </c>
      <c r="G42" s="102">
        <f>IF('Energy Data Input'!$H42="","",'Energy Data Input'!$H42)</f>
        <v/>
      </c>
      <c r="H42" s="102">
        <f>IF('Energy Data Input'!$J42="","",'Energy Data Input'!$J42)</f>
        <v/>
      </c>
      <c r="I42" s="142">
        <f>IF('Energy Data Input'!$N42="","",'Energy Data Input'!$N42)</f>
        <v/>
      </c>
      <c r="J42" s="142">
        <f>IF($B42="","",IFERROR(AVERAGEIFS('Energy Data Input'!$N$6:$N$205,'Energy Data Input'!$B$6:$B$205,"&gt;="&amp;$B42-7,'Energy Data Input'!$B$6:$B$205,"&lt;"&amp;$B42,'Energy Data Input'!$H$6:$H$205,$G42,'Energy Data Input'!$J$6:$J$205,$H42),$I42))</f>
        <v/>
      </c>
      <c r="K42" s="143">
        <f>IFERROR(($I42-$J42)/$J42,"")</f>
        <v/>
      </c>
      <c r="L42" s="102">
        <f>IF('Energy Data Input'!$V42="","",'Energy Data Input'!$V42)</f>
        <v/>
      </c>
      <c r="M42" s="102">
        <f>IF($H42="","",IFERROR(VLOOKUP($H42,'Base Settings'!$A$13:$K$19,5,FALSE),0.2))</f>
        <v/>
      </c>
      <c r="N42" s="102">
        <f>IF($B42="","",IF('Energy Data Input'!$L42="","Missing reading",IF($I42=0,"Stalled reading / possibly offline",IF($K42&gt;=IFERROR(VLOOKUP($H42,'Base Settings'!$A$13:$K$19,6,FALSE),0.5),"Severe spike",IF($K42&gt;=$M42,"Usage spike",IF($K42&lt;=-IFERROR(VLOOKUP($H42,'Base Settings'!$A$13:$K$19,7,FALSE),0.3),"Usage drop",IF($L42&gt;IFERROR(VLOOKUP($H42,'Base Settings'!$A$13:$K$19,8,FALSE),999999),"Area intensity overrun","Normal")))))))</f>
        <v/>
      </c>
      <c r="O42" s="102">
        <f>IF($N42="","",IF($N42="Normal","Normal",IF(OR($N42="Severe spike",$K42&gt;=IFERROR(VLOOKUP($H42,'Base Settings'!$A$13:$K$19,6,FALSE),0.5)),"Severe",IF(OR($N42="Usage spike",$N42="Usage drop"),"High","Medium"))))</f>
        <v/>
      </c>
      <c r="P42" s="144">
        <f>IF(OR($N42="",$N42="Normal"),0,ABS($I42-$J42)*'Energy Data Input'!$O42)</f>
        <v/>
      </c>
      <c r="Q42" s="102">
        <f>IF($N42="Normal","",IF($N42="Stalled reading / possibly offline","核查表计通信/Electricity池/网关/阀门Status",IF(AND($H42="Water",$N42&lt;&gt;"Normal"),"检查管网、阀门、卫生间、冷却塔及夜间最小流量",IF(AND($H42="Electricity",$N42&lt;&gt;"Normal"),"检查空调、照明、生产设备、PeakOff-peak时段与待机功耗",IF(AND($H42="Gas",$N42&lt;&gt;"Normal"),"检查燃Gas阀门、锅炉/厨房设备与泄漏风险","核查设备工况、排班、产量与计量数据")))))</f>
        <v/>
      </c>
      <c r="R42" s="102">
        <f>IF($H42="","",IFERROR(VLOOKUP($H42,'Base Settings'!$A$13:$K$19,11,FALSE),"Energy management owner"))</f>
        <v/>
      </c>
      <c r="S42" s="102">
        <f>IF($N42="","",IF($N42="Normal","No action needed","Open"))</f>
        <v/>
      </c>
      <c r="T42" s="141">
        <f>IF(OR($B42="",$N42="Normal"),"",WORKDAY($B42,IF($O42="Severe",1,IF($O42="High",2,3))))</f>
        <v/>
      </c>
      <c r="U42" s="102">
        <f>IF($T42="","",IF(AND($S42&lt;&gt;"Closed",TODAY()&gt;$T42),"Overdue","Not overdue"))</f>
        <v/>
      </c>
      <c r="V42" s="102" t="n"/>
      <c r="W42" s="141" t="n"/>
      <c r="X42" s="102" t="n"/>
    </row>
    <row r="43">
      <c r="A43" s="102">
        <f>IF('Energy Data Input'!$A43="","","AL-"&amp;TEXT(ROW()-5,"0000"))</f>
        <v/>
      </c>
      <c r="B43" s="141">
        <f>IF('Energy Data Input'!$B43="","",'Energy Data Input'!$B43)</f>
        <v/>
      </c>
      <c r="C43" s="102">
        <f>IF('Energy Data Input'!$C43="","",'Energy Data Input'!$C43)</f>
        <v/>
      </c>
      <c r="D43" s="102">
        <f>IF('Energy Data Input'!$D43="","",'Energy Data Input'!$D43)</f>
        <v/>
      </c>
      <c r="E43" s="102">
        <f>IF('Energy Data Input'!$E43="","",'Energy Data Input'!$E43)</f>
        <v/>
      </c>
      <c r="F43" s="102">
        <f>IF('Energy Data Input'!$G43="","",'Energy Data Input'!$G43)</f>
        <v/>
      </c>
      <c r="G43" s="102">
        <f>IF('Energy Data Input'!$H43="","",'Energy Data Input'!$H43)</f>
        <v/>
      </c>
      <c r="H43" s="102">
        <f>IF('Energy Data Input'!$J43="","",'Energy Data Input'!$J43)</f>
        <v/>
      </c>
      <c r="I43" s="142">
        <f>IF('Energy Data Input'!$N43="","",'Energy Data Input'!$N43)</f>
        <v/>
      </c>
      <c r="J43" s="142">
        <f>IF($B43="","",IFERROR(AVERAGEIFS('Energy Data Input'!$N$6:$N$205,'Energy Data Input'!$B$6:$B$205,"&gt;="&amp;$B43-7,'Energy Data Input'!$B$6:$B$205,"&lt;"&amp;$B43,'Energy Data Input'!$H$6:$H$205,$G43,'Energy Data Input'!$J$6:$J$205,$H43),$I43))</f>
        <v/>
      </c>
      <c r="K43" s="143">
        <f>IFERROR(($I43-$J43)/$J43,"")</f>
        <v/>
      </c>
      <c r="L43" s="102">
        <f>IF('Energy Data Input'!$V43="","",'Energy Data Input'!$V43)</f>
        <v/>
      </c>
      <c r="M43" s="102">
        <f>IF($H43="","",IFERROR(VLOOKUP($H43,'Base Settings'!$A$13:$K$19,5,FALSE),0.2))</f>
        <v/>
      </c>
      <c r="N43" s="102">
        <f>IF($B43="","",IF('Energy Data Input'!$L43="","Missing reading",IF($I43=0,"Stalled reading / possibly offline",IF($K43&gt;=IFERROR(VLOOKUP($H43,'Base Settings'!$A$13:$K$19,6,FALSE),0.5),"Severe spike",IF($K43&gt;=$M43,"Usage spike",IF($K43&lt;=-IFERROR(VLOOKUP($H43,'Base Settings'!$A$13:$K$19,7,FALSE),0.3),"Usage drop",IF($L43&gt;IFERROR(VLOOKUP($H43,'Base Settings'!$A$13:$K$19,8,FALSE),999999),"Area intensity overrun","Normal")))))))</f>
        <v/>
      </c>
      <c r="O43" s="102">
        <f>IF($N43="","",IF($N43="Normal","Normal",IF(OR($N43="Severe spike",$K43&gt;=IFERROR(VLOOKUP($H43,'Base Settings'!$A$13:$K$19,6,FALSE),0.5)),"Severe",IF(OR($N43="Usage spike",$N43="Usage drop"),"High","Medium"))))</f>
        <v/>
      </c>
      <c r="P43" s="144">
        <f>IF(OR($N43="",$N43="Normal"),0,ABS($I43-$J43)*'Energy Data Input'!$O43)</f>
        <v/>
      </c>
      <c r="Q43" s="102">
        <f>IF($N43="Normal","",IF($N43="Stalled reading / possibly offline","核查表计通信/Electricity池/网关/阀门Status",IF(AND($H43="Water",$N43&lt;&gt;"Normal"),"检查管网、阀门、卫生间、冷却塔及夜间最小流量",IF(AND($H43="Electricity",$N43&lt;&gt;"Normal"),"检查空调、照明、生产设备、PeakOff-peak时段与待机功耗",IF(AND($H43="Gas",$N43&lt;&gt;"Normal"),"检查燃Gas阀门、锅炉/厨房设备与泄漏风险","核查设备工况、排班、产量与计量数据")))))</f>
        <v/>
      </c>
      <c r="R43" s="102">
        <f>IF($H43="","",IFERROR(VLOOKUP($H43,'Base Settings'!$A$13:$K$19,11,FALSE),"Energy management owner"))</f>
        <v/>
      </c>
      <c r="S43" s="102">
        <f>IF($N43="","",IF($N43="Normal","No action needed","Open"))</f>
        <v/>
      </c>
      <c r="T43" s="141">
        <f>IF(OR($B43="",$N43="Normal"),"",WORKDAY($B43,IF($O43="Severe",1,IF($O43="High",2,3))))</f>
        <v/>
      </c>
      <c r="U43" s="102">
        <f>IF($T43="","",IF(AND($S43&lt;&gt;"Closed",TODAY()&gt;$T43),"Overdue","Not overdue"))</f>
        <v/>
      </c>
      <c r="V43" s="102" t="n"/>
      <c r="W43" s="141" t="n"/>
      <c r="X43" s="102" t="n"/>
    </row>
    <row r="44">
      <c r="A44" s="102">
        <f>IF('Energy Data Input'!$A44="","","AL-"&amp;TEXT(ROW()-5,"0000"))</f>
        <v/>
      </c>
      <c r="B44" s="141">
        <f>IF('Energy Data Input'!$B44="","",'Energy Data Input'!$B44)</f>
        <v/>
      </c>
      <c r="C44" s="102">
        <f>IF('Energy Data Input'!$C44="","",'Energy Data Input'!$C44)</f>
        <v/>
      </c>
      <c r="D44" s="102">
        <f>IF('Energy Data Input'!$D44="","",'Energy Data Input'!$D44)</f>
        <v/>
      </c>
      <c r="E44" s="102">
        <f>IF('Energy Data Input'!$E44="","",'Energy Data Input'!$E44)</f>
        <v/>
      </c>
      <c r="F44" s="102">
        <f>IF('Energy Data Input'!$G44="","",'Energy Data Input'!$G44)</f>
        <v/>
      </c>
      <c r="G44" s="102">
        <f>IF('Energy Data Input'!$H44="","",'Energy Data Input'!$H44)</f>
        <v/>
      </c>
      <c r="H44" s="102">
        <f>IF('Energy Data Input'!$J44="","",'Energy Data Input'!$J44)</f>
        <v/>
      </c>
      <c r="I44" s="142">
        <f>IF('Energy Data Input'!$N44="","",'Energy Data Input'!$N44)</f>
        <v/>
      </c>
      <c r="J44" s="142">
        <f>IF($B44="","",IFERROR(AVERAGEIFS('Energy Data Input'!$N$6:$N$205,'Energy Data Input'!$B$6:$B$205,"&gt;="&amp;$B44-7,'Energy Data Input'!$B$6:$B$205,"&lt;"&amp;$B44,'Energy Data Input'!$H$6:$H$205,$G44,'Energy Data Input'!$J$6:$J$205,$H44),$I44))</f>
        <v/>
      </c>
      <c r="K44" s="143">
        <f>IFERROR(($I44-$J44)/$J44,"")</f>
        <v/>
      </c>
      <c r="L44" s="102">
        <f>IF('Energy Data Input'!$V44="","",'Energy Data Input'!$V44)</f>
        <v/>
      </c>
      <c r="M44" s="102">
        <f>IF($H44="","",IFERROR(VLOOKUP($H44,'Base Settings'!$A$13:$K$19,5,FALSE),0.2))</f>
        <v/>
      </c>
      <c r="N44" s="102">
        <f>IF($B44="","",IF('Energy Data Input'!$L44="","Missing reading",IF($I44=0,"Stalled reading / possibly offline",IF($K44&gt;=IFERROR(VLOOKUP($H44,'Base Settings'!$A$13:$K$19,6,FALSE),0.5),"Severe spike",IF($K44&gt;=$M44,"Usage spike",IF($K44&lt;=-IFERROR(VLOOKUP($H44,'Base Settings'!$A$13:$K$19,7,FALSE),0.3),"Usage drop",IF($L44&gt;IFERROR(VLOOKUP($H44,'Base Settings'!$A$13:$K$19,8,FALSE),999999),"Area intensity overrun","Normal")))))))</f>
        <v/>
      </c>
      <c r="O44" s="102">
        <f>IF($N44="","",IF($N44="Normal","Normal",IF(OR($N44="Severe spike",$K44&gt;=IFERROR(VLOOKUP($H44,'Base Settings'!$A$13:$K$19,6,FALSE),0.5)),"Severe",IF(OR($N44="Usage spike",$N44="Usage drop"),"High","Medium"))))</f>
        <v/>
      </c>
      <c r="P44" s="144">
        <f>IF(OR($N44="",$N44="Normal"),0,ABS($I44-$J44)*'Energy Data Input'!$O44)</f>
        <v/>
      </c>
      <c r="Q44" s="102">
        <f>IF($N44="Normal","",IF($N44="Stalled reading / possibly offline","核查表计通信/Electricity池/网关/阀门Status",IF(AND($H44="Water",$N44&lt;&gt;"Normal"),"检查管网、阀门、卫生间、冷却塔及夜间最小流量",IF(AND($H44="Electricity",$N44&lt;&gt;"Normal"),"检查空调、照明、生产设备、PeakOff-peak时段与待机功耗",IF(AND($H44="Gas",$N44&lt;&gt;"Normal"),"检查燃Gas阀门、锅炉/厨房设备与泄漏风险","核查设备工况、排班、产量与计量数据")))))</f>
        <v/>
      </c>
      <c r="R44" s="102">
        <f>IF($H44="","",IFERROR(VLOOKUP($H44,'Base Settings'!$A$13:$K$19,11,FALSE),"Energy management owner"))</f>
        <v/>
      </c>
      <c r="S44" s="102">
        <f>IF($N44="","",IF($N44="Normal","No action needed","Open"))</f>
        <v/>
      </c>
      <c r="T44" s="141">
        <f>IF(OR($B44="",$N44="Normal"),"",WORKDAY($B44,IF($O44="Severe",1,IF($O44="High",2,3))))</f>
        <v/>
      </c>
      <c r="U44" s="102">
        <f>IF($T44="","",IF(AND($S44&lt;&gt;"Closed",TODAY()&gt;$T44),"Overdue","Not overdue"))</f>
        <v/>
      </c>
      <c r="V44" s="102" t="n"/>
      <c r="W44" s="141" t="n"/>
      <c r="X44" s="102" t="n"/>
    </row>
    <row r="45">
      <c r="A45" s="102">
        <f>IF('Energy Data Input'!$A45="","","AL-"&amp;TEXT(ROW()-5,"0000"))</f>
        <v/>
      </c>
      <c r="B45" s="141">
        <f>IF('Energy Data Input'!$B45="","",'Energy Data Input'!$B45)</f>
        <v/>
      </c>
      <c r="C45" s="102">
        <f>IF('Energy Data Input'!$C45="","",'Energy Data Input'!$C45)</f>
        <v/>
      </c>
      <c r="D45" s="102">
        <f>IF('Energy Data Input'!$D45="","",'Energy Data Input'!$D45)</f>
        <v/>
      </c>
      <c r="E45" s="102">
        <f>IF('Energy Data Input'!$E45="","",'Energy Data Input'!$E45)</f>
        <v/>
      </c>
      <c r="F45" s="102">
        <f>IF('Energy Data Input'!$G45="","",'Energy Data Input'!$G45)</f>
        <v/>
      </c>
      <c r="G45" s="102">
        <f>IF('Energy Data Input'!$H45="","",'Energy Data Input'!$H45)</f>
        <v/>
      </c>
      <c r="H45" s="102">
        <f>IF('Energy Data Input'!$J45="","",'Energy Data Input'!$J45)</f>
        <v/>
      </c>
      <c r="I45" s="142">
        <f>IF('Energy Data Input'!$N45="","",'Energy Data Input'!$N45)</f>
        <v/>
      </c>
      <c r="J45" s="142">
        <f>IF($B45="","",IFERROR(AVERAGEIFS('Energy Data Input'!$N$6:$N$205,'Energy Data Input'!$B$6:$B$205,"&gt;="&amp;$B45-7,'Energy Data Input'!$B$6:$B$205,"&lt;"&amp;$B45,'Energy Data Input'!$H$6:$H$205,$G45,'Energy Data Input'!$J$6:$J$205,$H45),$I45))</f>
        <v/>
      </c>
      <c r="K45" s="143">
        <f>IFERROR(($I45-$J45)/$J45,"")</f>
        <v/>
      </c>
      <c r="L45" s="102">
        <f>IF('Energy Data Input'!$V45="","",'Energy Data Input'!$V45)</f>
        <v/>
      </c>
      <c r="M45" s="102">
        <f>IF($H45="","",IFERROR(VLOOKUP($H45,'Base Settings'!$A$13:$K$19,5,FALSE),0.2))</f>
        <v/>
      </c>
      <c r="N45" s="102">
        <f>IF($B45="","",IF('Energy Data Input'!$L45="","Missing reading",IF($I45=0,"Stalled reading / possibly offline",IF($K45&gt;=IFERROR(VLOOKUP($H45,'Base Settings'!$A$13:$K$19,6,FALSE),0.5),"Severe spike",IF($K45&gt;=$M45,"Usage spike",IF($K45&lt;=-IFERROR(VLOOKUP($H45,'Base Settings'!$A$13:$K$19,7,FALSE),0.3),"Usage drop",IF($L45&gt;IFERROR(VLOOKUP($H45,'Base Settings'!$A$13:$K$19,8,FALSE),999999),"Area intensity overrun","Normal")))))))</f>
        <v/>
      </c>
      <c r="O45" s="102">
        <f>IF($N45="","",IF($N45="Normal","Normal",IF(OR($N45="Severe spike",$K45&gt;=IFERROR(VLOOKUP($H45,'Base Settings'!$A$13:$K$19,6,FALSE),0.5)),"Severe",IF(OR($N45="Usage spike",$N45="Usage drop"),"High","Medium"))))</f>
        <v/>
      </c>
      <c r="P45" s="144">
        <f>IF(OR($N45="",$N45="Normal"),0,ABS($I45-$J45)*'Energy Data Input'!$O45)</f>
        <v/>
      </c>
      <c r="Q45" s="102">
        <f>IF($N45="Normal","",IF($N45="Stalled reading / possibly offline","核查表计通信/Electricity池/网关/阀门Status",IF(AND($H45="Water",$N45&lt;&gt;"Normal"),"检查管网、阀门、卫生间、冷却塔及夜间最小流量",IF(AND($H45="Electricity",$N45&lt;&gt;"Normal"),"检查空调、照明、生产设备、PeakOff-peak时段与待机功耗",IF(AND($H45="Gas",$N45&lt;&gt;"Normal"),"检查燃Gas阀门、锅炉/厨房设备与泄漏风险","核查设备工况、排班、产量与计量数据")))))</f>
        <v/>
      </c>
      <c r="R45" s="102">
        <f>IF($H45="","",IFERROR(VLOOKUP($H45,'Base Settings'!$A$13:$K$19,11,FALSE),"Energy management owner"))</f>
        <v/>
      </c>
      <c r="S45" s="102">
        <f>IF($N45="","",IF($N45="Normal","No action needed","Open"))</f>
        <v/>
      </c>
      <c r="T45" s="141">
        <f>IF(OR($B45="",$N45="Normal"),"",WORKDAY($B45,IF($O45="Severe",1,IF($O45="High",2,3))))</f>
        <v/>
      </c>
      <c r="U45" s="102">
        <f>IF($T45="","",IF(AND($S45&lt;&gt;"Closed",TODAY()&gt;$T45),"Overdue","Not overdue"))</f>
        <v/>
      </c>
      <c r="V45" s="102" t="n"/>
      <c r="W45" s="141" t="n"/>
      <c r="X45" s="102" t="n"/>
    </row>
    <row r="46">
      <c r="A46" s="102">
        <f>IF('Energy Data Input'!$A46="","","AL-"&amp;TEXT(ROW()-5,"0000"))</f>
        <v/>
      </c>
      <c r="B46" s="141">
        <f>IF('Energy Data Input'!$B46="","",'Energy Data Input'!$B46)</f>
        <v/>
      </c>
      <c r="C46" s="102">
        <f>IF('Energy Data Input'!$C46="","",'Energy Data Input'!$C46)</f>
        <v/>
      </c>
      <c r="D46" s="102">
        <f>IF('Energy Data Input'!$D46="","",'Energy Data Input'!$D46)</f>
        <v/>
      </c>
      <c r="E46" s="102">
        <f>IF('Energy Data Input'!$E46="","",'Energy Data Input'!$E46)</f>
        <v/>
      </c>
      <c r="F46" s="102">
        <f>IF('Energy Data Input'!$G46="","",'Energy Data Input'!$G46)</f>
        <v/>
      </c>
      <c r="G46" s="102">
        <f>IF('Energy Data Input'!$H46="","",'Energy Data Input'!$H46)</f>
        <v/>
      </c>
      <c r="H46" s="102">
        <f>IF('Energy Data Input'!$J46="","",'Energy Data Input'!$J46)</f>
        <v/>
      </c>
      <c r="I46" s="142">
        <f>IF('Energy Data Input'!$N46="","",'Energy Data Input'!$N46)</f>
        <v/>
      </c>
      <c r="J46" s="142">
        <f>IF($B46="","",IFERROR(AVERAGEIFS('Energy Data Input'!$N$6:$N$205,'Energy Data Input'!$B$6:$B$205,"&gt;="&amp;$B46-7,'Energy Data Input'!$B$6:$B$205,"&lt;"&amp;$B46,'Energy Data Input'!$H$6:$H$205,$G46,'Energy Data Input'!$J$6:$J$205,$H46),$I46))</f>
        <v/>
      </c>
      <c r="K46" s="143">
        <f>IFERROR(($I46-$J46)/$J46,"")</f>
        <v/>
      </c>
      <c r="L46" s="102">
        <f>IF('Energy Data Input'!$V46="","",'Energy Data Input'!$V46)</f>
        <v/>
      </c>
      <c r="M46" s="102">
        <f>IF($H46="","",IFERROR(VLOOKUP($H46,'Base Settings'!$A$13:$K$19,5,FALSE),0.2))</f>
        <v/>
      </c>
      <c r="N46" s="102">
        <f>IF($B46="","",IF('Energy Data Input'!$L46="","Missing reading",IF($I46=0,"Stalled reading / possibly offline",IF($K46&gt;=IFERROR(VLOOKUP($H46,'Base Settings'!$A$13:$K$19,6,FALSE),0.5),"Severe spike",IF($K46&gt;=$M46,"Usage spike",IF($K46&lt;=-IFERROR(VLOOKUP($H46,'Base Settings'!$A$13:$K$19,7,FALSE),0.3),"Usage drop",IF($L46&gt;IFERROR(VLOOKUP($H46,'Base Settings'!$A$13:$K$19,8,FALSE),999999),"Area intensity overrun","Normal")))))))</f>
        <v/>
      </c>
      <c r="O46" s="102">
        <f>IF($N46="","",IF($N46="Normal","Normal",IF(OR($N46="Severe spike",$K46&gt;=IFERROR(VLOOKUP($H46,'Base Settings'!$A$13:$K$19,6,FALSE),0.5)),"Severe",IF(OR($N46="Usage spike",$N46="Usage drop"),"High","Medium"))))</f>
        <v/>
      </c>
      <c r="P46" s="144">
        <f>IF(OR($N46="",$N46="Normal"),0,ABS($I46-$J46)*'Energy Data Input'!$O46)</f>
        <v/>
      </c>
      <c r="Q46" s="102">
        <f>IF($N46="Normal","",IF($N46="Stalled reading / possibly offline","核查表计通信/Electricity池/网关/阀门Status",IF(AND($H46="Water",$N46&lt;&gt;"Normal"),"检查管网、阀门、卫生间、冷却塔及夜间最小流量",IF(AND($H46="Electricity",$N46&lt;&gt;"Normal"),"检查空调、照明、生产设备、PeakOff-peak时段与待机功耗",IF(AND($H46="Gas",$N46&lt;&gt;"Normal"),"检查燃Gas阀门、锅炉/厨房设备与泄漏风险","核查设备工况、排班、产量与计量数据")))))</f>
        <v/>
      </c>
      <c r="R46" s="102">
        <f>IF($H46="","",IFERROR(VLOOKUP($H46,'Base Settings'!$A$13:$K$19,11,FALSE),"Energy management owner"))</f>
        <v/>
      </c>
      <c r="S46" s="102">
        <f>IF($N46="","",IF($N46="Normal","No action needed","Open"))</f>
        <v/>
      </c>
      <c r="T46" s="141">
        <f>IF(OR($B46="",$N46="Normal"),"",WORKDAY($B46,IF($O46="Severe",1,IF($O46="High",2,3))))</f>
        <v/>
      </c>
      <c r="U46" s="102">
        <f>IF($T46="","",IF(AND($S46&lt;&gt;"Closed",TODAY()&gt;$T46),"Overdue","Not overdue"))</f>
        <v/>
      </c>
      <c r="V46" s="102" t="n"/>
      <c r="W46" s="141" t="n"/>
      <c r="X46" s="102" t="n"/>
    </row>
    <row r="47">
      <c r="A47" s="102">
        <f>IF('Energy Data Input'!$A47="","","AL-"&amp;TEXT(ROW()-5,"0000"))</f>
        <v/>
      </c>
      <c r="B47" s="141">
        <f>IF('Energy Data Input'!$B47="","",'Energy Data Input'!$B47)</f>
        <v/>
      </c>
      <c r="C47" s="102">
        <f>IF('Energy Data Input'!$C47="","",'Energy Data Input'!$C47)</f>
        <v/>
      </c>
      <c r="D47" s="102">
        <f>IF('Energy Data Input'!$D47="","",'Energy Data Input'!$D47)</f>
        <v/>
      </c>
      <c r="E47" s="102">
        <f>IF('Energy Data Input'!$E47="","",'Energy Data Input'!$E47)</f>
        <v/>
      </c>
      <c r="F47" s="102">
        <f>IF('Energy Data Input'!$G47="","",'Energy Data Input'!$G47)</f>
        <v/>
      </c>
      <c r="G47" s="102">
        <f>IF('Energy Data Input'!$H47="","",'Energy Data Input'!$H47)</f>
        <v/>
      </c>
      <c r="H47" s="102">
        <f>IF('Energy Data Input'!$J47="","",'Energy Data Input'!$J47)</f>
        <v/>
      </c>
      <c r="I47" s="142">
        <f>IF('Energy Data Input'!$N47="","",'Energy Data Input'!$N47)</f>
        <v/>
      </c>
      <c r="J47" s="142">
        <f>IF($B47="","",IFERROR(AVERAGEIFS('Energy Data Input'!$N$6:$N$205,'Energy Data Input'!$B$6:$B$205,"&gt;="&amp;$B47-7,'Energy Data Input'!$B$6:$B$205,"&lt;"&amp;$B47,'Energy Data Input'!$H$6:$H$205,$G47,'Energy Data Input'!$J$6:$J$205,$H47),$I47))</f>
        <v/>
      </c>
      <c r="K47" s="143">
        <f>IFERROR(($I47-$J47)/$J47,"")</f>
        <v/>
      </c>
      <c r="L47" s="102">
        <f>IF('Energy Data Input'!$V47="","",'Energy Data Input'!$V47)</f>
        <v/>
      </c>
      <c r="M47" s="102">
        <f>IF($H47="","",IFERROR(VLOOKUP($H47,'Base Settings'!$A$13:$K$19,5,FALSE),0.2))</f>
        <v/>
      </c>
      <c r="N47" s="102">
        <f>IF($B47="","",IF('Energy Data Input'!$L47="","Missing reading",IF($I47=0,"Stalled reading / possibly offline",IF($K47&gt;=IFERROR(VLOOKUP($H47,'Base Settings'!$A$13:$K$19,6,FALSE),0.5),"Severe spike",IF($K47&gt;=$M47,"Usage spike",IF($K47&lt;=-IFERROR(VLOOKUP($H47,'Base Settings'!$A$13:$K$19,7,FALSE),0.3),"Usage drop",IF($L47&gt;IFERROR(VLOOKUP($H47,'Base Settings'!$A$13:$K$19,8,FALSE),999999),"Area intensity overrun","Normal")))))))</f>
        <v/>
      </c>
      <c r="O47" s="102">
        <f>IF($N47="","",IF($N47="Normal","Normal",IF(OR($N47="Severe spike",$K47&gt;=IFERROR(VLOOKUP($H47,'Base Settings'!$A$13:$K$19,6,FALSE),0.5)),"Severe",IF(OR($N47="Usage spike",$N47="Usage drop"),"High","Medium"))))</f>
        <v/>
      </c>
      <c r="P47" s="144">
        <f>IF(OR($N47="",$N47="Normal"),0,ABS($I47-$J47)*'Energy Data Input'!$O47)</f>
        <v/>
      </c>
      <c r="Q47" s="102">
        <f>IF($N47="Normal","",IF($N47="Stalled reading / possibly offline","核查表计通信/Electricity池/网关/阀门Status",IF(AND($H47="Water",$N47&lt;&gt;"Normal"),"检查管网、阀门、卫生间、冷却塔及夜间最小流量",IF(AND($H47="Electricity",$N47&lt;&gt;"Normal"),"检查空调、照明、生产设备、PeakOff-peak时段与待机功耗",IF(AND($H47="Gas",$N47&lt;&gt;"Normal"),"检查燃Gas阀门、锅炉/厨房设备与泄漏风险","核查设备工况、排班、产量与计量数据")))))</f>
        <v/>
      </c>
      <c r="R47" s="102">
        <f>IF($H47="","",IFERROR(VLOOKUP($H47,'Base Settings'!$A$13:$K$19,11,FALSE),"Energy management owner"))</f>
        <v/>
      </c>
      <c r="S47" s="102">
        <f>IF($N47="","",IF($N47="Normal","No action needed","Open"))</f>
        <v/>
      </c>
      <c r="T47" s="141">
        <f>IF(OR($B47="",$N47="Normal"),"",WORKDAY($B47,IF($O47="Severe",1,IF($O47="High",2,3))))</f>
        <v/>
      </c>
      <c r="U47" s="102">
        <f>IF($T47="","",IF(AND($S47&lt;&gt;"Closed",TODAY()&gt;$T47),"Overdue","Not overdue"))</f>
        <v/>
      </c>
      <c r="V47" s="102" t="n"/>
      <c r="W47" s="141" t="n"/>
      <c r="X47" s="102" t="n"/>
    </row>
    <row r="48">
      <c r="A48" s="102">
        <f>IF('Energy Data Input'!$A48="","","AL-"&amp;TEXT(ROW()-5,"0000"))</f>
        <v/>
      </c>
      <c r="B48" s="141">
        <f>IF('Energy Data Input'!$B48="","",'Energy Data Input'!$B48)</f>
        <v/>
      </c>
      <c r="C48" s="102">
        <f>IF('Energy Data Input'!$C48="","",'Energy Data Input'!$C48)</f>
        <v/>
      </c>
      <c r="D48" s="102">
        <f>IF('Energy Data Input'!$D48="","",'Energy Data Input'!$D48)</f>
        <v/>
      </c>
      <c r="E48" s="102">
        <f>IF('Energy Data Input'!$E48="","",'Energy Data Input'!$E48)</f>
        <v/>
      </c>
      <c r="F48" s="102">
        <f>IF('Energy Data Input'!$G48="","",'Energy Data Input'!$G48)</f>
        <v/>
      </c>
      <c r="G48" s="102">
        <f>IF('Energy Data Input'!$H48="","",'Energy Data Input'!$H48)</f>
        <v/>
      </c>
      <c r="H48" s="102">
        <f>IF('Energy Data Input'!$J48="","",'Energy Data Input'!$J48)</f>
        <v/>
      </c>
      <c r="I48" s="142">
        <f>IF('Energy Data Input'!$N48="","",'Energy Data Input'!$N48)</f>
        <v/>
      </c>
      <c r="J48" s="142">
        <f>IF($B48="","",IFERROR(AVERAGEIFS('Energy Data Input'!$N$6:$N$205,'Energy Data Input'!$B$6:$B$205,"&gt;="&amp;$B48-7,'Energy Data Input'!$B$6:$B$205,"&lt;"&amp;$B48,'Energy Data Input'!$H$6:$H$205,$G48,'Energy Data Input'!$J$6:$J$205,$H48),$I48))</f>
        <v/>
      </c>
      <c r="K48" s="143">
        <f>IFERROR(($I48-$J48)/$J48,"")</f>
        <v/>
      </c>
      <c r="L48" s="102">
        <f>IF('Energy Data Input'!$V48="","",'Energy Data Input'!$V48)</f>
        <v/>
      </c>
      <c r="M48" s="102">
        <f>IF($H48="","",IFERROR(VLOOKUP($H48,'Base Settings'!$A$13:$K$19,5,FALSE),0.2))</f>
        <v/>
      </c>
      <c r="N48" s="102">
        <f>IF($B48="","",IF('Energy Data Input'!$L48="","Missing reading",IF($I48=0,"Stalled reading / possibly offline",IF($K48&gt;=IFERROR(VLOOKUP($H48,'Base Settings'!$A$13:$K$19,6,FALSE),0.5),"Severe spike",IF($K48&gt;=$M48,"Usage spike",IF($K48&lt;=-IFERROR(VLOOKUP($H48,'Base Settings'!$A$13:$K$19,7,FALSE),0.3),"Usage drop",IF($L48&gt;IFERROR(VLOOKUP($H48,'Base Settings'!$A$13:$K$19,8,FALSE),999999),"Area intensity overrun","Normal")))))))</f>
        <v/>
      </c>
      <c r="O48" s="102">
        <f>IF($N48="","",IF($N48="Normal","Normal",IF(OR($N48="Severe spike",$K48&gt;=IFERROR(VLOOKUP($H48,'Base Settings'!$A$13:$K$19,6,FALSE),0.5)),"Severe",IF(OR($N48="Usage spike",$N48="Usage drop"),"High","Medium"))))</f>
        <v/>
      </c>
      <c r="P48" s="144">
        <f>IF(OR($N48="",$N48="Normal"),0,ABS($I48-$J48)*'Energy Data Input'!$O48)</f>
        <v/>
      </c>
      <c r="Q48" s="102">
        <f>IF($N48="Normal","",IF($N48="Stalled reading / possibly offline","核查表计通信/Electricity池/网关/阀门Status",IF(AND($H48="Water",$N48&lt;&gt;"Normal"),"检查管网、阀门、卫生间、冷却塔及夜间最小流量",IF(AND($H48="Electricity",$N48&lt;&gt;"Normal"),"检查空调、照明、生产设备、PeakOff-peak时段与待机功耗",IF(AND($H48="Gas",$N48&lt;&gt;"Normal"),"检查燃Gas阀门、锅炉/厨房设备与泄漏风险","核查设备工况、排班、产量与计量数据")))))</f>
        <v/>
      </c>
      <c r="R48" s="102">
        <f>IF($H48="","",IFERROR(VLOOKUP($H48,'Base Settings'!$A$13:$K$19,11,FALSE),"Energy management owner"))</f>
        <v/>
      </c>
      <c r="S48" s="102">
        <f>IF($N48="","",IF($N48="Normal","No action needed","Open"))</f>
        <v/>
      </c>
      <c r="T48" s="141">
        <f>IF(OR($B48="",$N48="Normal"),"",WORKDAY($B48,IF($O48="Severe",1,IF($O48="High",2,3))))</f>
        <v/>
      </c>
      <c r="U48" s="102">
        <f>IF($T48="","",IF(AND($S48&lt;&gt;"Closed",TODAY()&gt;$T48),"Overdue","Not overdue"))</f>
        <v/>
      </c>
      <c r="V48" s="102" t="n"/>
      <c r="W48" s="141" t="n"/>
      <c r="X48" s="102" t="n"/>
    </row>
    <row r="49">
      <c r="A49" s="102">
        <f>IF('Energy Data Input'!$A49="","","AL-"&amp;TEXT(ROW()-5,"0000"))</f>
        <v/>
      </c>
      <c r="B49" s="141">
        <f>IF('Energy Data Input'!$B49="","",'Energy Data Input'!$B49)</f>
        <v/>
      </c>
      <c r="C49" s="102">
        <f>IF('Energy Data Input'!$C49="","",'Energy Data Input'!$C49)</f>
        <v/>
      </c>
      <c r="D49" s="102">
        <f>IF('Energy Data Input'!$D49="","",'Energy Data Input'!$D49)</f>
        <v/>
      </c>
      <c r="E49" s="102">
        <f>IF('Energy Data Input'!$E49="","",'Energy Data Input'!$E49)</f>
        <v/>
      </c>
      <c r="F49" s="102">
        <f>IF('Energy Data Input'!$G49="","",'Energy Data Input'!$G49)</f>
        <v/>
      </c>
      <c r="G49" s="102">
        <f>IF('Energy Data Input'!$H49="","",'Energy Data Input'!$H49)</f>
        <v/>
      </c>
      <c r="H49" s="102">
        <f>IF('Energy Data Input'!$J49="","",'Energy Data Input'!$J49)</f>
        <v/>
      </c>
      <c r="I49" s="142">
        <f>IF('Energy Data Input'!$N49="","",'Energy Data Input'!$N49)</f>
        <v/>
      </c>
      <c r="J49" s="142">
        <f>IF($B49="","",IFERROR(AVERAGEIFS('Energy Data Input'!$N$6:$N$205,'Energy Data Input'!$B$6:$B$205,"&gt;="&amp;$B49-7,'Energy Data Input'!$B$6:$B$205,"&lt;"&amp;$B49,'Energy Data Input'!$H$6:$H$205,$G49,'Energy Data Input'!$J$6:$J$205,$H49),$I49))</f>
        <v/>
      </c>
      <c r="K49" s="143">
        <f>IFERROR(($I49-$J49)/$J49,"")</f>
        <v/>
      </c>
      <c r="L49" s="102">
        <f>IF('Energy Data Input'!$V49="","",'Energy Data Input'!$V49)</f>
        <v/>
      </c>
      <c r="M49" s="102">
        <f>IF($H49="","",IFERROR(VLOOKUP($H49,'Base Settings'!$A$13:$K$19,5,FALSE),0.2))</f>
        <v/>
      </c>
      <c r="N49" s="102">
        <f>IF($B49="","",IF('Energy Data Input'!$L49="","Missing reading",IF($I49=0,"Stalled reading / possibly offline",IF($K49&gt;=IFERROR(VLOOKUP($H49,'Base Settings'!$A$13:$K$19,6,FALSE),0.5),"Severe spike",IF($K49&gt;=$M49,"Usage spike",IF($K49&lt;=-IFERROR(VLOOKUP($H49,'Base Settings'!$A$13:$K$19,7,FALSE),0.3),"Usage drop",IF($L49&gt;IFERROR(VLOOKUP($H49,'Base Settings'!$A$13:$K$19,8,FALSE),999999),"Area intensity overrun","Normal")))))))</f>
        <v/>
      </c>
      <c r="O49" s="102">
        <f>IF($N49="","",IF($N49="Normal","Normal",IF(OR($N49="Severe spike",$K49&gt;=IFERROR(VLOOKUP($H49,'Base Settings'!$A$13:$K$19,6,FALSE),0.5)),"Severe",IF(OR($N49="Usage spike",$N49="Usage drop"),"High","Medium"))))</f>
        <v/>
      </c>
      <c r="P49" s="144">
        <f>IF(OR($N49="",$N49="Normal"),0,ABS($I49-$J49)*'Energy Data Input'!$O49)</f>
        <v/>
      </c>
      <c r="Q49" s="102">
        <f>IF($N49="Normal","",IF($N49="Stalled reading / possibly offline","核查表计通信/Electricity池/网关/阀门Status",IF(AND($H49="Water",$N49&lt;&gt;"Normal"),"检查管网、阀门、卫生间、冷却塔及夜间最小流量",IF(AND($H49="Electricity",$N49&lt;&gt;"Normal"),"检查空调、照明、生产设备、PeakOff-peak时段与待机功耗",IF(AND($H49="Gas",$N49&lt;&gt;"Normal"),"检查燃Gas阀门、锅炉/厨房设备与泄漏风险","核查设备工况、排班、产量与计量数据")))))</f>
        <v/>
      </c>
      <c r="R49" s="102">
        <f>IF($H49="","",IFERROR(VLOOKUP($H49,'Base Settings'!$A$13:$K$19,11,FALSE),"Energy management owner"))</f>
        <v/>
      </c>
      <c r="S49" s="102">
        <f>IF($N49="","",IF($N49="Normal","No action needed","Open"))</f>
        <v/>
      </c>
      <c r="T49" s="141">
        <f>IF(OR($B49="",$N49="Normal"),"",WORKDAY($B49,IF($O49="Severe",1,IF($O49="High",2,3))))</f>
        <v/>
      </c>
      <c r="U49" s="102">
        <f>IF($T49="","",IF(AND($S49&lt;&gt;"Closed",TODAY()&gt;$T49),"Overdue","Not overdue"))</f>
        <v/>
      </c>
      <c r="V49" s="102" t="n"/>
      <c r="W49" s="141" t="n"/>
      <c r="X49" s="102" t="n"/>
    </row>
    <row r="50">
      <c r="A50" s="102">
        <f>IF('Energy Data Input'!$A50="","","AL-"&amp;TEXT(ROW()-5,"0000"))</f>
        <v/>
      </c>
      <c r="B50" s="141">
        <f>IF('Energy Data Input'!$B50="","",'Energy Data Input'!$B50)</f>
        <v/>
      </c>
      <c r="C50" s="102">
        <f>IF('Energy Data Input'!$C50="","",'Energy Data Input'!$C50)</f>
        <v/>
      </c>
      <c r="D50" s="102">
        <f>IF('Energy Data Input'!$D50="","",'Energy Data Input'!$D50)</f>
        <v/>
      </c>
      <c r="E50" s="102">
        <f>IF('Energy Data Input'!$E50="","",'Energy Data Input'!$E50)</f>
        <v/>
      </c>
      <c r="F50" s="102">
        <f>IF('Energy Data Input'!$G50="","",'Energy Data Input'!$G50)</f>
        <v/>
      </c>
      <c r="G50" s="102">
        <f>IF('Energy Data Input'!$H50="","",'Energy Data Input'!$H50)</f>
        <v/>
      </c>
      <c r="H50" s="102">
        <f>IF('Energy Data Input'!$J50="","",'Energy Data Input'!$J50)</f>
        <v/>
      </c>
      <c r="I50" s="142">
        <f>IF('Energy Data Input'!$N50="","",'Energy Data Input'!$N50)</f>
        <v/>
      </c>
      <c r="J50" s="142">
        <f>IF($B50="","",IFERROR(AVERAGEIFS('Energy Data Input'!$N$6:$N$205,'Energy Data Input'!$B$6:$B$205,"&gt;="&amp;$B50-7,'Energy Data Input'!$B$6:$B$205,"&lt;"&amp;$B50,'Energy Data Input'!$H$6:$H$205,$G50,'Energy Data Input'!$J$6:$J$205,$H50),$I50))</f>
        <v/>
      </c>
      <c r="K50" s="143">
        <f>IFERROR(($I50-$J50)/$J50,"")</f>
        <v/>
      </c>
      <c r="L50" s="102">
        <f>IF('Energy Data Input'!$V50="","",'Energy Data Input'!$V50)</f>
        <v/>
      </c>
      <c r="M50" s="102">
        <f>IF($H50="","",IFERROR(VLOOKUP($H50,'Base Settings'!$A$13:$K$19,5,FALSE),0.2))</f>
        <v/>
      </c>
      <c r="N50" s="102">
        <f>IF($B50="","",IF('Energy Data Input'!$L50="","Missing reading",IF($I50=0,"Stalled reading / possibly offline",IF($K50&gt;=IFERROR(VLOOKUP($H50,'Base Settings'!$A$13:$K$19,6,FALSE),0.5),"Severe spike",IF($K50&gt;=$M50,"Usage spike",IF($K50&lt;=-IFERROR(VLOOKUP($H50,'Base Settings'!$A$13:$K$19,7,FALSE),0.3),"Usage drop",IF($L50&gt;IFERROR(VLOOKUP($H50,'Base Settings'!$A$13:$K$19,8,FALSE),999999),"Area intensity overrun","Normal")))))))</f>
        <v/>
      </c>
      <c r="O50" s="102">
        <f>IF($N50="","",IF($N50="Normal","Normal",IF(OR($N50="Severe spike",$K50&gt;=IFERROR(VLOOKUP($H50,'Base Settings'!$A$13:$K$19,6,FALSE),0.5)),"Severe",IF(OR($N50="Usage spike",$N50="Usage drop"),"High","Medium"))))</f>
        <v/>
      </c>
      <c r="P50" s="144">
        <f>IF(OR($N50="",$N50="Normal"),0,ABS($I50-$J50)*'Energy Data Input'!$O50)</f>
        <v/>
      </c>
      <c r="Q50" s="102">
        <f>IF($N50="Normal","",IF($N50="Stalled reading / possibly offline","核查表计通信/Electricity池/网关/阀门Status",IF(AND($H50="Water",$N50&lt;&gt;"Normal"),"检查管网、阀门、卫生间、冷却塔及夜间最小流量",IF(AND($H50="Electricity",$N50&lt;&gt;"Normal"),"检查空调、照明、生产设备、PeakOff-peak时段与待机功耗",IF(AND($H50="Gas",$N50&lt;&gt;"Normal"),"检查燃Gas阀门、锅炉/厨房设备与泄漏风险","核查设备工况、排班、产量与计量数据")))))</f>
        <v/>
      </c>
      <c r="R50" s="102">
        <f>IF($H50="","",IFERROR(VLOOKUP($H50,'Base Settings'!$A$13:$K$19,11,FALSE),"Energy management owner"))</f>
        <v/>
      </c>
      <c r="S50" s="102">
        <f>IF($N50="","",IF($N50="Normal","No action needed","Open"))</f>
        <v/>
      </c>
      <c r="T50" s="141">
        <f>IF(OR($B50="",$N50="Normal"),"",WORKDAY($B50,IF($O50="Severe",1,IF($O50="High",2,3))))</f>
        <v/>
      </c>
      <c r="U50" s="102">
        <f>IF($T50="","",IF(AND($S50&lt;&gt;"Closed",TODAY()&gt;$T50),"Overdue","Not overdue"))</f>
        <v/>
      </c>
      <c r="V50" s="102" t="n"/>
      <c r="W50" s="141" t="n"/>
      <c r="X50" s="102" t="n"/>
    </row>
    <row r="51">
      <c r="A51" s="102">
        <f>IF('Energy Data Input'!$A51="","","AL-"&amp;TEXT(ROW()-5,"0000"))</f>
        <v/>
      </c>
      <c r="B51" s="141">
        <f>IF('Energy Data Input'!$B51="","",'Energy Data Input'!$B51)</f>
        <v/>
      </c>
      <c r="C51" s="102">
        <f>IF('Energy Data Input'!$C51="","",'Energy Data Input'!$C51)</f>
        <v/>
      </c>
      <c r="D51" s="102">
        <f>IF('Energy Data Input'!$D51="","",'Energy Data Input'!$D51)</f>
        <v/>
      </c>
      <c r="E51" s="102">
        <f>IF('Energy Data Input'!$E51="","",'Energy Data Input'!$E51)</f>
        <v/>
      </c>
      <c r="F51" s="102">
        <f>IF('Energy Data Input'!$G51="","",'Energy Data Input'!$G51)</f>
        <v/>
      </c>
      <c r="G51" s="102">
        <f>IF('Energy Data Input'!$H51="","",'Energy Data Input'!$H51)</f>
        <v/>
      </c>
      <c r="H51" s="102">
        <f>IF('Energy Data Input'!$J51="","",'Energy Data Input'!$J51)</f>
        <v/>
      </c>
      <c r="I51" s="142">
        <f>IF('Energy Data Input'!$N51="","",'Energy Data Input'!$N51)</f>
        <v/>
      </c>
      <c r="J51" s="142">
        <f>IF($B51="","",IFERROR(AVERAGEIFS('Energy Data Input'!$N$6:$N$205,'Energy Data Input'!$B$6:$B$205,"&gt;="&amp;$B51-7,'Energy Data Input'!$B$6:$B$205,"&lt;"&amp;$B51,'Energy Data Input'!$H$6:$H$205,$G51,'Energy Data Input'!$J$6:$J$205,$H51),$I51))</f>
        <v/>
      </c>
      <c r="K51" s="143">
        <f>IFERROR(($I51-$J51)/$J51,"")</f>
        <v/>
      </c>
      <c r="L51" s="102">
        <f>IF('Energy Data Input'!$V51="","",'Energy Data Input'!$V51)</f>
        <v/>
      </c>
      <c r="M51" s="102">
        <f>IF($H51="","",IFERROR(VLOOKUP($H51,'Base Settings'!$A$13:$K$19,5,FALSE),0.2))</f>
        <v/>
      </c>
      <c r="N51" s="102">
        <f>IF($B51="","",IF('Energy Data Input'!$L51="","Missing reading",IF($I51=0,"Stalled reading / possibly offline",IF($K51&gt;=IFERROR(VLOOKUP($H51,'Base Settings'!$A$13:$K$19,6,FALSE),0.5),"Severe spike",IF($K51&gt;=$M51,"Usage spike",IF($K51&lt;=-IFERROR(VLOOKUP($H51,'Base Settings'!$A$13:$K$19,7,FALSE),0.3),"Usage drop",IF($L51&gt;IFERROR(VLOOKUP($H51,'Base Settings'!$A$13:$K$19,8,FALSE),999999),"Area intensity overrun","Normal")))))))</f>
        <v/>
      </c>
      <c r="O51" s="102">
        <f>IF($N51="","",IF($N51="Normal","Normal",IF(OR($N51="Severe spike",$K51&gt;=IFERROR(VLOOKUP($H51,'Base Settings'!$A$13:$K$19,6,FALSE),0.5)),"Severe",IF(OR($N51="Usage spike",$N51="Usage drop"),"High","Medium"))))</f>
        <v/>
      </c>
      <c r="P51" s="144">
        <f>IF(OR($N51="",$N51="Normal"),0,ABS($I51-$J51)*'Energy Data Input'!$O51)</f>
        <v/>
      </c>
      <c r="Q51" s="102">
        <f>IF($N51="Normal","",IF($N51="Stalled reading / possibly offline","核查表计通信/Electricity池/网关/阀门Status",IF(AND($H51="Water",$N51&lt;&gt;"Normal"),"检查管网、阀门、卫生间、冷却塔及夜间最小流量",IF(AND($H51="Electricity",$N51&lt;&gt;"Normal"),"检查空调、照明、生产设备、PeakOff-peak时段与待机功耗",IF(AND($H51="Gas",$N51&lt;&gt;"Normal"),"检查燃Gas阀门、锅炉/厨房设备与泄漏风险","核查设备工况、排班、产量与计量数据")))))</f>
        <v/>
      </c>
      <c r="R51" s="102">
        <f>IF($H51="","",IFERROR(VLOOKUP($H51,'Base Settings'!$A$13:$K$19,11,FALSE),"Energy management owner"))</f>
        <v/>
      </c>
      <c r="S51" s="102">
        <f>IF($N51="","",IF($N51="Normal","No action needed","Open"))</f>
        <v/>
      </c>
      <c r="T51" s="141">
        <f>IF(OR($B51="",$N51="Normal"),"",WORKDAY($B51,IF($O51="Severe",1,IF($O51="High",2,3))))</f>
        <v/>
      </c>
      <c r="U51" s="102">
        <f>IF($T51="","",IF(AND($S51&lt;&gt;"Closed",TODAY()&gt;$T51),"Overdue","Not overdue"))</f>
        <v/>
      </c>
      <c r="V51" s="102" t="n"/>
      <c r="W51" s="141" t="n"/>
      <c r="X51" s="102" t="n"/>
    </row>
    <row r="52">
      <c r="A52" s="102">
        <f>IF('Energy Data Input'!$A52="","","AL-"&amp;TEXT(ROW()-5,"0000"))</f>
        <v/>
      </c>
      <c r="B52" s="141">
        <f>IF('Energy Data Input'!$B52="","",'Energy Data Input'!$B52)</f>
        <v/>
      </c>
      <c r="C52" s="102">
        <f>IF('Energy Data Input'!$C52="","",'Energy Data Input'!$C52)</f>
        <v/>
      </c>
      <c r="D52" s="102">
        <f>IF('Energy Data Input'!$D52="","",'Energy Data Input'!$D52)</f>
        <v/>
      </c>
      <c r="E52" s="102">
        <f>IF('Energy Data Input'!$E52="","",'Energy Data Input'!$E52)</f>
        <v/>
      </c>
      <c r="F52" s="102">
        <f>IF('Energy Data Input'!$G52="","",'Energy Data Input'!$G52)</f>
        <v/>
      </c>
      <c r="G52" s="102">
        <f>IF('Energy Data Input'!$H52="","",'Energy Data Input'!$H52)</f>
        <v/>
      </c>
      <c r="H52" s="102">
        <f>IF('Energy Data Input'!$J52="","",'Energy Data Input'!$J52)</f>
        <v/>
      </c>
      <c r="I52" s="142">
        <f>IF('Energy Data Input'!$N52="","",'Energy Data Input'!$N52)</f>
        <v/>
      </c>
      <c r="J52" s="142">
        <f>IF($B52="","",IFERROR(AVERAGEIFS('Energy Data Input'!$N$6:$N$205,'Energy Data Input'!$B$6:$B$205,"&gt;="&amp;$B52-7,'Energy Data Input'!$B$6:$B$205,"&lt;"&amp;$B52,'Energy Data Input'!$H$6:$H$205,$G52,'Energy Data Input'!$J$6:$J$205,$H52),$I52))</f>
        <v/>
      </c>
      <c r="K52" s="143">
        <f>IFERROR(($I52-$J52)/$J52,"")</f>
        <v/>
      </c>
      <c r="L52" s="102">
        <f>IF('Energy Data Input'!$V52="","",'Energy Data Input'!$V52)</f>
        <v/>
      </c>
      <c r="M52" s="102">
        <f>IF($H52="","",IFERROR(VLOOKUP($H52,'Base Settings'!$A$13:$K$19,5,FALSE),0.2))</f>
        <v/>
      </c>
      <c r="N52" s="102">
        <f>IF($B52="","",IF('Energy Data Input'!$L52="","Missing reading",IF($I52=0,"Stalled reading / possibly offline",IF($K52&gt;=IFERROR(VLOOKUP($H52,'Base Settings'!$A$13:$K$19,6,FALSE),0.5),"Severe spike",IF($K52&gt;=$M52,"Usage spike",IF($K52&lt;=-IFERROR(VLOOKUP($H52,'Base Settings'!$A$13:$K$19,7,FALSE),0.3),"Usage drop",IF($L52&gt;IFERROR(VLOOKUP($H52,'Base Settings'!$A$13:$K$19,8,FALSE),999999),"Area intensity overrun","Normal")))))))</f>
        <v/>
      </c>
      <c r="O52" s="102">
        <f>IF($N52="","",IF($N52="Normal","Normal",IF(OR($N52="Severe spike",$K52&gt;=IFERROR(VLOOKUP($H52,'Base Settings'!$A$13:$K$19,6,FALSE),0.5)),"Severe",IF(OR($N52="Usage spike",$N52="Usage drop"),"High","Medium"))))</f>
        <v/>
      </c>
      <c r="P52" s="144">
        <f>IF(OR($N52="",$N52="Normal"),0,ABS($I52-$J52)*'Energy Data Input'!$O52)</f>
        <v/>
      </c>
      <c r="Q52" s="102">
        <f>IF($N52="Normal","",IF($N52="Stalled reading / possibly offline","核查表计通信/Electricity池/网关/阀门Status",IF(AND($H52="Water",$N52&lt;&gt;"Normal"),"检查管网、阀门、卫生间、冷却塔及夜间最小流量",IF(AND($H52="Electricity",$N52&lt;&gt;"Normal"),"检查空调、照明、生产设备、PeakOff-peak时段与待机功耗",IF(AND($H52="Gas",$N52&lt;&gt;"Normal"),"检查燃Gas阀门、锅炉/厨房设备与泄漏风险","核查设备工况、排班、产量与计量数据")))))</f>
        <v/>
      </c>
      <c r="R52" s="102">
        <f>IF($H52="","",IFERROR(VLOOKUP($H52,'Base Settings'!$A$13:$K$19,11,FALSE),"Energy management owner"))</f>
        <v/>
      </c>
      <c r="S52" s="102">
        <f>IF($N52="","",IF($N52="Normal","No action needed","Open"))</f>
        <v/>
      </c>
      <c r="T52" s="141">
        <f>IF(OR($B52="",$N52="Normal"),"",WORKDAY($B52,IF($O52="Severe",1,IF($O52="High",2,3))))</f>
        <v/>
      </c>
      <c r="U52" s="102">
        <f>IF($T52="","",IF(AND($S52&lt;&gt;"Closed",TODAY()&gt;$T52),"Overdue","Not overdue"))</f>
        <v/>
      </c>
      <c r="V52" s="102" t="n"/>
      <c r="W52" s="141" t="n"/>
      <c r="X52" s="102" t="n"/>
    </row>
    <row r="53">
      <c r="A53" s="102">
        <f>IF('Energy Data Input'!$A53="","","AL-"&amp;TEXT(ROW()-5,"0000"))</f>
        <v/>
      </c>
      <c r="B53" s="141">
        <f>IF('Energy Data Input'!$B53="","",'Energy Data Input'!$B53)</f>
        <v/>
      </c>
      <c r="C53" s="102">
        <f>IF('Energy Data Input'!$C53="","",'Energy Data Input'!$C53)</f>
        <v/>
      </c>
      <c r="D53" s="102">
        <f>IF('Energy Data Input'!$D53="","",'Energy Data Input'!$D53)</f>
        <v/>
      </c>
      <c r="E53" s="102">
        <f>IF('Energy Data Input'!$E53="","",'Energy Data Input'!$E53)</f>
        <v/>
      </c>
      <c r="F53" s="102">
        <f>IF('Energy Data Input'!$G53="","",'Energy Data Input'!$G53)</f>
        <v/>
      </c>
      <c r="G53" s="102">
        <f>IF('Energy Data Input'!$H53="","",'Energy Data Input'!$H53)</f>
        <v/>
      </c>
      <c r="H53" s="102">
        <f>IF('Energy Data Input'!$J53="","",'Energy Data Input'!$J53)</f>
        <v/>
      </c>
      <c r="I53" s="142">
        <f>IF('Energy Data Input'!$N53="","",'Energy Data Input'!$N53)</f>
        <v/>
      </c>
      <c r="J53" s="142">
        <f>IF($B53="","",IFERROR(AVERAGEIFS('Energy Data Input'!$N$6:$N$205,'Energy Data Input'!$B$6:$B$205,"&gt;="&amp;$B53-7,'Energy Data Input'!$B$6:$B$205,"&lt;"&amp;$B53,'Energy Data Input'!$H$6:$H$205,$G53,'Energy Data Input'!$J$6:$J$205,$H53),$I53))</f>
        <v/>
      </c>
      <c r="K53" s="143">
        <f>IFERROR(($I53-$J53)/$J53,"")</f>
        <v/>
      </c>
      <c r="L53" s="102">
        <f>IF('Energy Data Input'!$V53="","",'Energy Data Input'!$V53)</f>
        <v/>
      </c>
      <c r="M53" s="102">
        <f>IF($H53="","",IFERROR(VLOOKUP($H53,'Base Settings'!$A$13:$K$19,5,FALSE),0.2))</f>
        <v/>
      </c>
      <c r="N53" s="102">
        <f>IF($B53="","",IF('Energy Data Input'!$L53="","Missing reading",IF($I53=0,"Stalled reading / possibly offline",IF($K53&gt;=IFERROR(VLOOKUP($H53,'Base Settings'!$A$13:$K$19,6,FALSE),0.5),"Severe spike",IF($K53&gt;=$M53,"Usage spike",IF($K53&lt;=-IFERROR(VLOOKUP($H53,'Base Settings'!$A$13:$K$19,7,FALSE),0.3),"Usage drop",IF($L53&gt;IFERROR(VLOOKUP($H53,'Base Settings'!$A$13:$K$19,8,FALSE),999999),"Area intensity overrun","Normal")))))))</f>
        <v/>
      </c>
      <c r="O53" s="102">
        <f>IF($N53="","",IF($N53="Normal","Normal",IF(OR($N53="Severe spike",$K53&gt;=IFERROR(VLOOKUP($H53,'Base Settings'!$A$13:$K$19,6,FALSE),0.5)),"Severe",IF(OR($N53="Usage spike",$N53="Usage drop"),"High","Medium"))))</f>
        <v/>
      </c>
      <c r="P53" s="144">
        <f>IF(OR($N53="",$N53="Normal"),0,ABS($I53-$J53)*'Energy Data Input'!$O53)</f>
        <v/>
      </c>
      <c r="Q53" s="102">
        <f>IF($N53="Normal","",IF($N53="Stalled reading / possibly offline","核查表计通信/Electricity池/网关/阀门Status",IF(AND($H53="Water",$N53&lt;&gt;"Normal"),"检查管网、阀门、卫生间、冷却塔及夜间最小流量",IF(AND($H53="Electricity",$N53&lt;&gt;"Normal"),"检查空调、照明、生产设备、PeakOff-peak时段与待机功耗",IF(AND($H53="Gas",$N53&lt;&gt;"Normal"),"检查燃Gas阀门、锅炉/厨房设备与泄漏风险","核查设备工况、排班、产量与计量数据")))))</f>
        <v/>
      </c>
      <c r="R53" s="102">
        <f>IF($H53="","",IFERROR(VLOOKUP($H53,'Base Settings'!$A$13:$K$19,11,FALSE),"Energy management owner"))</f>
        <v/>
      </c>
      <c r="S53" s="102">
        <f>IF($N53="","",IF($N53="Normal","No action needed","Open"))</f>
        <v/>
      </c>
      <c r="T53" s="141">
        <f>IF(OR($B53="",$N53="Normal"),"",WORKDAY($B53,IF($O53="Severe",1,IF($O53="High",2,3))))</f>
        <v/>
      </c>
      <c r="U53" s="102">
        <f>IF($T53="","",IF(AND($S53&lt;&gt;"Closed",TODAY()&gt;$T53),"Overdue","Not overdue"))</f>
        <v/>
      </c>
      <c r="V53" s="102" t="n"/>
      <c r="W53" s="141" t="n"/>
      <c r="X53" s="102" t="n"/>
    </row>
    <row r="54">
      <c r="A54" s="102">
        <f>IF('Energy Data Input'!$A54="","","AL-"&amp;TEXT(ROW()-5,"0000"))</f>
        <v/>
      </c>
      <c r="B54" s="141">
        <f>IF('Energy Data Input'!$B54="","",'Energy Data Input'!$B54)</f>
        <v/>
      </c>
      <c r="C54" s="102">
        <f>IF('Energy Data Input'!$C54="","",'Energy Data Input'!$C54)</f>
        <v/>
      </c>
      <c r="D54" s="102">
        <f>IF('Energy Data Input'!$D54="","",'Energy Data Input'!$D54)</f>
        <v/>
      </c>
      <c r="E54" s="102">
        <f>IF('Energy Data Input'!$E54="","",'Energy Data Input'!$E54)</f>
        <v/>
      </c>
      <c r="F54" s="102">
        <f>IF('Energy Data Input'!$G54="","",'Energy Data Input'!$G54)</f>
        <v/>
      </c>
      <c r="G54" s="102">
        <f>IF('Energy Data Input'!$H54="","",'Energy Data Input'!$H54)</f>
        <v/>
      </c>
      <c r="H54" s="102">
        <f>IF('Energy Data Input'!$J54="","",'Energy Data Input'!$J54)</f>
        <v/>
      </c>
      <c r="I54" s="142">
        <f>IF('Energy Data Input'!$N54="","",'Energy Data Input'!$N54)</f>
        <v/>
      </c>
      <c r="J54" s="142">
        <f>IF($B54="","",IFERROR(AVERAGEIFS('Energy Data Input'!$N$6:$N$205,'Energy Data Input'!$B$6:$B$205,"&gt;="&amp;$B54-7,'Energy Data Input'!$B$6:$B$205,"&lt;"&amp;$B54,'Energy Data Input'!$H$6:$H$205,$G54,'Energy Data Input'!$J$6:$J$205,$H54),$I54))</f>
        <v/>
      </c>
      <c r="K54" s="143">
        <f>IFERROR(($I54-$J54)/$J54,"")</f>
        <v/>
      </c>
      <c r="L54" s="102">
        <f>IF('Energy Data Input'!$V54="","",'Energy Data Input'!$V54)</f>
        <v/>
      </c>
      <c r="M54" s="102">
        <f>IF($H54="","",IFERROR(VLOOKUP($H54,'Base Settings'!$A$13:$K$19,5,FALSE),0.2))</f>
        <v/>
      </c>
      <c r="N54" s="102">
        <f>IF($B54="","",IF('Energy Data Input'!$L54="","Missing reading",IF($I54=0,"Stalled reading / possibly offline",IF($K54&gt;=IFERROR(VLOOKUP($H54,'Base Settings'!$A$13:$K$19,6,FALSE),0.5),"Severe spike",IF($K54&gt;=$M54,"Usage spike",IF($K54&lt;=-IFERROR(VLOOKUP($H54,'Base Settings'!$A$13:$K$19,7,FALSE),0.3),"Usage drop",IF($L54&gt;IFERROR(VLOOKUP($H54,'Base Settings'!$A$13:$K$19,8,FALSE),999999),"Area intensity overrun","Normal")))))))</f>
        <v/>
      </c>
      <c r="O54" s="102">
        <f>IF($N54="","",IF($N54="Normal","Normal",IF(OR($N54="Severe spike",$K54&gt;=IFERROR(VLOOKUP($H54,'Base Settings'!$A$13:$K$19,6,FALSE),0.5)),"Severe",IF(OR($N54="Usage spike",$N54="Usage drop"),"High","Medium"))))</f>
        <v/>
      </c>
      <c r="P54" s="144">
        <f>IF(OR($N54="",$N54="Normal"),0,ABS($I54-$J54)*'Energy Data Input'!$O54)</f>
        <v/>
      </c>
      <c r="Q54" s="102">
        <f>IF($N54="Normal","",IF($N54="Stalled reading / possibly offline","核查表计通信/Electricity池/网关/阀门Status",IF(AND($H54="Water",$N54&lt;&gt;"Normal"),"检查管网、阀门、卫生间、冷却塔及夜间最小流量",IF(AND($H54="Electricity",$N54&lt;&gt;"Normal"),"检查空调、照明、生产设备、PeakOff-peak时段与待机功耗",IF(AND($H54="Gas",$N54&lt;&gt;"Normal"),"检查燃Gas阀门、锅炉/厨房设备与泄漏风险","核查设备工况、排班、产量与计量数据")))))</f>
        <v/>
      </c>
      <c r="R54" s="102">
        <f>IF($H54="","",IFERROR(VLOOKUP($H54,'Base Settings'!$A$13:$K$19,11,FALSE),"Energy management owner"))</f>
        <v/>
      </c>
      <c r="S54" s="102">
        <f>IF($N54="","",IF($N54="Normal","No action needed","Open"))</f>
        <v/>
      </c>
      <c r="T54" s="141">
        <f>IF(OR($B54="",$N54="Normal"),"",WORKDAY($B54,IF($O54="Severe",1,IF($O54="High",2,3))))</f>
        <v/>
      </c>
      <c r="U54" s="102">
        <f>IF($T54="","",IF(AND($S54&lt;&gt;"Closed",TODAY()&gt;$T54),"Overdue","Not overdue"))</f>
        <v/>
      </c>
      <c r="V54" s="102" t="n"/>
      <c r="W54" s="141" t="n"/>
      <c r="X54" s="102" t="n"/>
    </row>
    <row r="55">
      <c r="A55" s="102">
        <f>IF('Energy Data Input'!$A55="","","AL-"&amp;TEXT(ROW()-5,"0000"))</f>
        <v/>
      </c>
      <c r="B55" s="141">
        <f>IF('Energy Data Input'!$B55="","",'Energy Data Input'!$B55)</f>
        <v/>
      </c>
      <c r="C55" s="102">
        <f>IF('Energy Data Input'!$C55="","",'Energy Data Input'!$C55)</f>
        <v/>
      </c>
      <c r="D55" s="102">
        <f>IF('Energy Data Input'!$D55="","",'Energy Data Input'!$D55)</f>
        <v/>
      </c>
      <c r="E55" s="102">
        <f>IF('Energy Data Input'!$E55="","",'Energy Data Input'!$E55)</f>
        <v/>
      </c>
      <c r="F55" s="102">
        <f>IF('Energy Data Input'!$G55="","",'Energy Data Input'!$G55)</f>
        <v/>
      </c>
      <c r="G55" s="102">
        <f>IF('Energy Data Input'!$H55="","",'Energy Data Input'!$H55)</f>
        <v/>
      </c>
      <c r="H55" s="102">
        <f>IF('Energy Data Input'!$J55="","",'Energy Data Input'!$J55)</f>
        <v/>
      </c>
      <c r="I55" s="142">
        <f>IF('Energy Data Input'!$N55="","",'Energy Data Input'!$N55)</f>
        <v/>
      </c>
      <c r="J55" s="142">
        <f>IF($B55="","",IFERROR(AVERAGEIFS('Energy Data Input'!$N$6:$N$205,'Energy Data Input'!$B$6:$B$205,"&gt;="&amp;$B55-7,'Energy Data Input'!$B$6:$B$205,"&lt;"&amp;$B55,'Energy Data Input'!$H$6:$H$205,$G55,'Energy Data Input'!$J$6:$J$205,$H55),$I55))</f>
        <v/>
      </c>
      <c r="K55" s="143">
        <f>IFERROR(($I55-$J55)/$J55,"")</f>
        <v/>
      </c>
      <c r="L55" s="102">
        <f>IF('Energy Data Input'!$V55="","",'Energy Data Input'!$V55)</f>
        <v/>
      </c>
      <c r="M55" s="102">
        <f>IF($H55="","",IFERROR(VLOOKUP($H55,'Base Settings'!$A$13:$K$19,5,FALSE),0.2))</f>
        <v/>
      </c>
      <c r="N55" s="102">
        <f>IF($B55="","",IF('Energy Data Input'!$L55="","Missing reading",IF($I55=0,"Stalled reading / possibly offline",IF($K55&gt;=IFERROR(VLOOKUP($H55,'Base Settings'!$A$13:$K$19,6,FALSE),0.5),"Severe spike",IF($K55&gt;=$M55,"Usage spike",IF($K55&lt;=-IFERROR(VLOOKUP($H55,'Base Settings'!$A$13:$K$19,7,FALSE),0.3),"Usage drop",IF($L55&gt;IFERROR(VLOOKUP($H55,'Base Settings'!$A$13:$K$19,8,FALSE),999999),"Area intensity overrun","Normal")))))))</f>
        <v/>
      </c>
      <c r="O55" s="102">
        <f>IF($N55="","",IF($N55="Normal","Normal",IF(OR($N55="Severe spike",$K55&gt;=IFERROR(VLOOKUP($H55,'Base Settings'!$A$13:$K$19,6,FALSE),0.5)),"Severe",IF(OR($N55="Usage spike",$N55="Usage drop"),"High","Medium"))))</f>
        <v/>
      </c>
      <c r="P55" s="144">
        <f>IF(OR($N55="",$N55="Normal"),0,ABS($I55-$J55)*'Energy Data Input'!$O55)</f>
        <v/>
      </c>
      <c r="Q55" s="102">
        <f>IF($N55="Normal","",IF($N55="Stalled reading / possibly offline","核查表计通信/Electricity池/网关/阀门Status",IF(AND($H55="Water",$N55&lt;&gt;"Normal"),"检查管网、阀门、卫生间、冷却塔及夜间最小流量",IF(AND($H55="Electricity",$N55&lt;&gt;"Normal"),"检查空调、照明、生产设备、PeakOff-peak时段与待机功耗",IF(AND($H55="Gas",$N55&lt;&gt;"Normal"),"检查燃Gas阀门、锅炉/厨房设备与泄漏风险","核查设备工况、排班、产量与计量数据")))))</f>
        <v/>
      </c>
      <c r="R55" s="102">
        <f>IF($H55="","",IFERROR(VLOOKUP($H55,'Base Settings'!$A$13:$K$19,11,FALSE),"Energy management owner"))</f>
        <v/>
      </c>
      <c r="S55" s="102">
        <f>IF($N55="","",IF($N55="Normal","No action needed","Open"))</f>
        <v/>
      </c>
      <c r="T55" s="141">
        <f>IF(OR($B55="",$N55="Normal"),"",WORKDAY($B55,IF($O55="Severe",1,IF($O55="High",2,3))))</f>
        <v/>
      </c>
      <c r="U55" s="102">
        <f>IF($T55="","",IF(AND($S55&lt;&gt;"Closed",TODAY()&gt;$T55),"Overdue","Not overdue"))</f>
        <v/>
      </c>
      <c r="V55" s="102" t="n"/>
      <c r="W55" s="141" t="n"/>
      <c r="X55" s="102" t="n"/>
    </row>
    <row r="56">
      <c r="A56" s="102">
        <f>IF('Energy Data Input'!$A56="","","AL-"&amp;TEXT(ROW()-5,"0000"))</f>
        <v/>
      </c>
      <c r="B56" s="141">
        <f>IF('Energy Data Input'!$B56="","",'Energy Data Input'!$B56)</f>
        <v/>
      </c>
      <c r="C56" s="102">
        <f>IF('Energy Data Input'!$C56="","",'Energy Data Input'!$C56)</f>
        <v/>
      </c>
      <c r="D56" s="102">
        <f>IF('Energy Data Input'!$D56="","",'Energy Data Input'!$D56)</f>
        <v/>
      </c>
      <c r="E56" s="102">
        <f>IF('Energy Data Input'!$E56="","",'Energy Data Input'!$E56)</f>
        <v/>
      </c>
      <c r="F56" s="102">
        <f>IF('Energy Data Input'!$G56="","",'Energy Data Input'!$G56)</f>
        <v/>
      </c>
      <c r="G56" s="102">
        <f>IF('Energy Data Input'!$H56="","",'Energy Data Input'!$H56)</f>
        <v/>
      </c>
      <c r="H56" s="102">
        <f>IF('Energy Data Input'!$J56="","",'Energy Data Input'!$J56)</f>
        <v/>
      </c>
      <c r="I56" s="142">
        <f>IF('Energy Data Input'!$N56="","",'Energy Data Input'!$N56)</f>
        <v/>
      </c>
      <c r="J56" s="142">
        <f>IF($B56="","",IFERROR(AVERAGEIFS('Energy Data Input'!$N$6:$N$205,'Energy Data Input'!$B$6:$B$205,"&gt;="&amp;$B56-7,'Energy Data Input'!$B$6:$B$205,"&lt;"&amp;$B56,'Energy Data Input'!$H$6:$H$205,$G56,'Energy Data Input'!$J$6:$J$205,$H56),$I56))</f>
        <v/>
      </c>
      <c r="K56" s="143">
        <f>IFERROR(($I56-$J56)/$J56,"")</f>
        <v/>
      </c>
      <c r="L56" s="102">
        <f>IF('Energy Data Input'!$V56="","",'Energy Data Input'!$V56)</f>
        <v/>
      </c>
      <c r="M56" s="102">
        <f>IF($H56="","",IFERROR(VLOOKUP($H56,'Base Settings'!$A$13:$K$19,5,FALSE),0.2))</f>
        <v/>
      </c>
      <c r="N56" s="102">
        <f>IF($B56="","",IF('Energy Data Input'!$L56="","Missing reading",IF($I56=0,"Stalled reading / possibly offline",IF($K56&gt;=IFERROR(VLOOKUP($H56,'Base Settings'!$A$13:$K$19,6,FALSE),0.5),"Severe spike",IF($K56&gt;=$M56,"Usage spike",IF($K56&lt;=-IFERROR(VLOOKUP($H56,'Base Settings'!$A$13:$K$19,7,FALSE),0.3),"Usage drop",IF($L56&gt;IFERROR(VLOOKUP($H56,'Base Settings'!$A$13:$K$19,8,FALSE),999999),"Area intensity overrun","Normal")))))))</f>
        <v/>
      </c>
      <c r="O56" s="102">
        <f>IF($N56="","",IF($N56="Normal","Normal",IF(OR($N56="Severe spike",$K56&gt;=IFERROR(VLOOKUP($H56,'Base Settings'!$A$13:$K$19,6,FALSE),0.5)),"Severe",IF(OR($N56="Usage spike",$N56="Usage drop"),"High","Medium"))))</f>
        <v/>
      </c>
      <c r="P56" s="144">
        <f>IF(OR($N56="",$N56="Normal"),0,ABS($I56-$J56)*'Energy Data Input'!$O56)</f>
        <v/>
      </c>
      <c r="Q56" s="102">
        <f>IF($N56="Normal","",IF($N56="Stalled reading / possibly offline","核查表计通信/Electricity池/网关/阀门Status",IF(AND($H56="Water",$N56&lt;&gt;"Normal"),"检查管网、阀门、卫生间、冷却塔及夜间最小流量",IF(AND($H56="Electricity",$N56&lt;&gt;"Normal"),"检查空调、照明、生产设备、PeakOff-peak时段与待机功耗",IF(AND($H56="Gas",$N56&lt;&gt;"Normal"),"检查燃Gas阀门、锅炉/厨房设备与泄漏风险","核查设备工况、排班、产量与计量数据")))))</f>
        <v/>
      </c>
      <c r="R56" s="102">
        <f>IF($H56="","",IFERROR(VLOOKUP($H56,'Base Settings'!$A$13:$K$19,11,FALSE),"Energy management owner"))</f>
        <v/>
      </c>
      <c r="S56" s="102">
        <f>IF($N56="","",IF($N56="Normal","No action needed","Open"))</f>
        <v/>
      </c>
      <c r="T56" s="141">
        <f>IF(OR($B56="",$N56="Normal"),"",WORKDAY($B56,IF($O56="Severe",1,IF($O56="High",2,3))))</f>
        <v/>
      </c>
      <c r="U56" s="102">
        <f>IF($T56="","",IF(AND($S56&lt;&gt;"Closed",TODAY()&gt;$T56),"Overdue","Not overdue"))</f>
        <v/>
      </c>
      <c r="V56" s="102" t="n"/>
      <c r="W56" s="141" t="n"/>
      <c r="X56" s="102" t="n"/>
    </row>
    <row r="57">
      <c r="A57" s="102">
        <f>IF('Energy Data Input'!$A57="","","AL-"&amp;TEXT(ROW()-5,"0000"))</f>
        <v/>
      </c>
      <c r="B57" s="141">
        <f>IF('Energy Data Input'!$B57="","",'Energy Data Input'!$B57)</f>
        <v/>
      </c>
      <c r="C57" s="102">
        <f>IF('Energy Data Input'!$C57="","",'Energy Data Input'!$C57)</f>
        <v/>
      </c>
      <c r="D57" s="102">
        <f>IF('Energy Data Input'!$D57="","",'Energy Data Input'!$D57)</f>
        <v/>
      </c>
      <c r="E57" s="102">
        <f>IF('Energy Data Input'!$E57="","",'Energy Data Input'!$E57)</f>
        <v/>
      </c>
      <c r="F57" s="102">
        <f>IF('Energy Data Input'!$G57="","",'Energy Data Input'!$G57)</f>
        <v/>
      </c>
      <c r="G57" s="102">
        <f>IF('Energy Data Input'!$H57="","",'Energy Data Input'!$H57)</f>
        <v/>
      </c>
      <c r="H57" s="102">
        <f>IF('Energy Data Input'!$J57="","",'Energy Data Input'!$J57)</f>
        <v/>
      </c>
      <c r="I57" s="142">
        <f>IF('Energy Data Input'!$N57="","",'Energy Data Input'!$N57)</f>
        <v/>
      </c>
      <c r="J57" s="142">
        <f>IF($B57="","",IFERROR(AVERAGEIFS('Energy Data Input'!$N$6:$N$205,'Energy Data Input'!$B$6:$B$205,"&gt;="&amp;$B57-7,'Energy Data Input'!$B$6:$B$205,"&lt;"&amp;$B57,'Energy Data Input'!$H$6:$H$205,$G57,'Energy Data Input'!$J$6:$J$205,$H57),$I57))</f>
        <v/>
      </c>
      <c r="K57" s="143">
        <f>IFERROR(($I57-$J57)/$J57,"")</f>
        <v/>
      </c>
      <c r="L57" s="102">
        <f>IF('Energy Data Input'!$V57="","",'Energy Data Input'!$V57)</f>
        <v/>
      </c>
      <c r="M57" s="102">
        <f>IF($H57="","",IFERROR(VLOOKUP($H57,'Base Settings'!$A$13:$K$19,5,FALSE),0.2))</f>
        <v/>
      </c>
      <c r="N57" s="102">
        <f>IF($B57="","",IF('Energy Data Input'!$L57="","Missing reading",IF($I57=0,"Stalled reading / possibly offline",IF($K57&gt;=IFERROR(VLOOKUP($H57,'Base Settings'!$A$13:$K$19,6,FALSE),0.5),"Severe spike",IF($K57&gt;=$M57,"Usage spike",IF($K57&lt;=-IFERROR(VLOOKUP($H57,'Base Settings'!$A$13:$K$19,7,FALSE),0.3),"Usage drop",IF($L57&gt;IFERROR(VLOOKUP($H57,'Base Settings'!$A$13:$K$19,8,FALSE),999999),"Area intensity overrun","Normal")))))))</f>
        <v/>
      </c>
      <c r="O57" s="102">
        <f>IF($N57="","",IF($N57="Normal","Normal",IF(OR($N57="Severe spike",$K57&gt;=IFERROR(VLOOKUP($H57,'Base Settings'!$A$13:$K$19,6,FALSE),0.5)),"Severe",IF(OR($N57="Usage spike",$N57="Usage drop"),"High","Medium"))))</f>
        <v/>
      </c>
      <c r="P57" s="144">
        <f>IF(OR($N57="",$N57="Normal"),0,ABS($I57-$J57)*'Energy Data Input'!$O57)</f>
        <v/>
      </c>
      <c r="Q57" s="102">
        <f>IF($N57="Normal","",IF($N57="Stalled reading / possibly offline","核查表计通信/Electricity池/网关/阀门Status",IF(AND($H57="Water",$N57&lt;&gt;"Normal"),"检查管网、阀门、卫生间、冷却塔及夜间最小流量",IF(AND($H57="Electricity",$N57&lt;&gt;"Normal"),"检查空调、照明、生产设备、PeakOff-peak时段与待机功耗",IF(AND($H57="Gas",$N57&lt;&gt;"Normal"),"检查燃Gas阀门、锅炉/厨房设备与泄漏风险","核查设备工况、排班、产量与计量数据")))))</f>
        <v/>
      </c>
      <c r="R57" s="102">
        <f>IF($H57="","",IFERROR(VLOOKUP($H57,'Base Settings'!$A$13:$K$19,11,FALSE),"Energy management owner"))</f>
        <v/>
      </c>
      <c r="S57" s="102">
        <f>IF($N57="","",IF($N57="Normal","No action needed","Open"))</f>
        <v/>
      </c>
      <c r="T57" s="141">
        <f>IF(OR($B57="",$N57="Normal"),"",WORKDAY($B57,IF($O57="Severe",1,IF($O57="High",2,3))))</f>
        <v/>
      </c>
      <c r="U57" s="102">
        <f>IF($T57="","",IF(AND($S57&lt;&gt;"Closed",TODAY()&gt;$T57),"Overdue","Not overdue"))</f>
        <v/>
      </c>
      <c r="V57" s="102" t="n"/>
      <c r="W57" s="141" t="n"/>
      <c r="X57" s="102" t="n"/>
    </row>
    <row r="58">
      <c r="A58" s="102">
        <f>IF('Energy Data Input'!$A58="","","AL-"&amp;TEXT(ROW()-5,"0000"))</f>
        <v/>
      </c>
      <c r="B58" s="141">
        <f>IF('Energy Data Input'!$B58="","",'Energy Data Input'!$B58)</f>
        <v/>
      </c>
      <c r="C58" s="102">
        <f>IF('Energy Data Input'!$C58="","",'Energy Data Input'!$C58)</f>
        <v/>
      </c>
      <c r="D58" s="102">
        <f>IF('Energy Data Input'!$D58="","",'Energy Data Input'!$D58)</f>
        <v/>
      </c>
      <c r="E58" s="102">
        <f>IF('Energy Data Input'!$E58="","",'Energy Data Input'!$E58)</f>
        <v/>
      </c>
      <c r="F58" s="102">
        <f>IF('Energy Data Input'!$G58="","",'Energy Data Input'!$G58)</f>
        <v/>
      </c>
      <c r="G58" s="102">
        <f>IF('Energy Data Input'!$H58="","",'Energy Data Input'!$H58)</f>
        <v/>
      </c>
      <c r="H58" s="102">
        <f>IF('Energy Data Input'!$J58="","",'Energy Data Input'!$J58)</f>
        <v/>
      </c>
      <c r="I58" s="142">
        <f>IF('Energy Data Input'!$N58="","",'Energy Data Input'!$N58)</f>
        <v/>
      </c>
      <c r="J58" s="142">
        <f>IF($B58="","",IFERROR(AVERAGEIFS('Energy Data Input'!$N$6:$N$205,'Energy Data Input'!$B$6:$B$205,"&gt;="&amp;$B58-7,'Energy Data Input'!$B$6:$B$205,"&lt;"&amp;$B58,'Energy Data Input'!$H$6:$H$205,$G58,'Energy Data Input'!$J$6:$J$205,$H58),$I58))</f>
        <v/>
      </c>
      <c r="K58" s="143">
        <f>IFERROR(($I58-$J58)/$J58,"")</f>
        <v/>
      </c>
      <c r="L58" s="102">
        <f>IF('Energy Data Input'!$V58="","",'Energy Data Input'!$V58)</f>
        <v/>
      </c>
      <c r="M58" s="102">
        <f>IF($H58="","",IFERROR(VLOOKUP($H58,'Base Settings'!$A$13:$K$19,5,FALSE),0.2))</f>
        <v/>
      </c>
      <c r="N58" s="102">
        <f>IF($B58="","",IF('Energy Data Input'!$L58="","Missing reading",IF($I58=0,"Stalled reading / possibly offline",IF($K58&gt;=IFERROR(VLOOKUP($H58,'Base Settings'!$A$13:$K$19,6,FALSE),0.5),"Severe spike",IF($K58&gt;=$M58,"Usage spike",IF($K58&lt;=-IFERROR(VLOOKUP($H58,'Base Settings'!$A$13:$K$19,7,FALSE),0.3),"Usage drop",IF($L58&gt;IFERROR(VLOOKUP($H58,'Base Settings'!$A$13:$K$19,8,FALSE),999999),"Area intensity overrun","Normal")))))))</f>
        <v/>
      </c>
      <c r="O58" s="102">
        <f>IF($N58="","",IF($N58="Normal","Normal",IF(OR($N58="Severe spike",$K58&gt;=IFERROR(VLOOKUP($H58,'Base Settings'!$A$13:$K$19,6,FALSE),0.5)),"Severe",IF(OR($N58="Usage spike",$N58="Usage drop"),"High","Medium"))))</f>
        <v/>
      </c>
      <c r="P58" s="144">
        <f>IF(OR($N58="",$N58="Normal"),0,ABS($I58-$J58)*'Energy Data Input'!$O58)</f>
        <v/>
      </c>
      <c r="Q58" s="102">
        <f>IF($N58="Normal","",IF($N58="Stalled reading / possibly offline","核查表计通信/Electricity池/网关/阀门Status",IF(AND($H58="Water",$N58&lt;&gt;"Normal"),"检查管网、阀门、卫生间、冷却塔及夜间最小流量",IF(AND($H58="Electricity",$N58&lt;&gt;"Normal"),"检查空调、照明、生产设备、PeakOff-peak时段与待机功耗",IF(AND($H58="Gas",$N58&lt;&gt;"Normal"),"检查燃Gas阀门、锅炉/厨房设备与泄漏风险","核查设备工况、排班、产量与计量数据")))))</f>
        <v/>
      </c>
      <c r="R58" s="102">
        <f>IF($H58="","",IFERROR(VLOOKUP($H58,'Base Settings'!$A$13:$K$19,11,FALSE),"Energy management owner"))</f>
        <v/>
      </c>
      <c r="S58" s="102">
        <f>IF($N58="","",IF($N58="Normal","No action needed","Open"))</f>
        <v/>
      </c>
      <c r="T58" s="141">
        <f>IF(OR($B58="",$N58="Normal"),"",WORKDAY($B58,IF($O58="Severe",1,IF($O58="High",2,3))))</f>
        <v/>
      </c>
      <c r="U58" s="102">
        <f>IF($T58="","",IF(AND($S58&lt;&gt;"Closed",TODAY()&gt;$T58),"Overdue","Not overdue"))</f>
        <v/>
      </c>
      <c r="V58" s="102" t="n"/>
      <c r="W58" s="141" t="n"/>
      <c r="X58" s="102" t="n"/>
    </row>
    <row r="59">
      <c r="A59" s="102">
        <f>IF('Energy Data Input'!$A59="","","AL-"&amp;TEXT(ROW()-5,"0000"))</f>
        <v/>
      </c>
      <c r="B59" s="141">
        <f>IF('Energy Data Input'!$B59="","",'Energy Data Input'!$B59)</f>
        <v/>
      </c>
      <c r="C59" s="102">
        <f>IF('Energy Data Input'!$C59="","",'Energy Data Input'!$C59)</f>
        <v/>
      </c>
      <c r="D59" s="102">
        <f>IF('Energy Data Input'!$D59="","",'Energy Data Input'!$D59)</f>
        <v/>
      </c>
      <c r="E59" s="102">
        <f>IF('Energy Data Input'!$E59="","",'Energy Data Input'!$E59)</f>
        <v/>
      </c>
      <c r="F59" s="102">
        <f>IF('Energy Data Input'!$G59="","",'Energy Data Input'!$G59)</f>
        <v/>
      </c>
      <c r="G59" s="102">
        <f>IF('Energy Data Input'!$H59="","",'Energy Data Input'!$H59)</f>
        <v/>
      </c>
      <c r="H59" s="102">
        <f>IF('Energy Data Input'!$J59="","",'Energy Data Input'!$J59)</f>
        <v/>
      </c>
      <c r="I59" s="142">
        <f>IF('Energy Data Input'!$N59="","",'Energy Data Input'!$N59)</f>
        <v/>
      </c>
      <c r="J59" s="142">
        <f>IF($B59="","",IFERROR(AVERAGEIFS('Energy Data Input'!$N$6:$N$205,'Energy Data Input'!$B$6:$B$205,"&gt;="&amp;$B59-7,'Energy Data Input'!$B$6:$B$205,"&lt;"&amp;$B59,'Energy Data Input'!$H$6:$H$205,$G59,'Energy Data Input'!$J$6:$J$205,$H59),$I59))</f>
        <v/>
      </c>
      <c r="K59" s="143">
        <f>IFERROR(($I59-$J59)/$J59,"")</f>
        <v/>
      </c>
      <c r="L59" s="102">
        <f>IF('Energy Data Input'!$V59="","",'Energy Data Input'!$V59)</f>
        <v/>
      </c>
      <c r="M59" s="102">
        <f>IF($H59="","",IFERROR(VLOOKUP($H59,'Base Settings'!$A$13:$K$19,5,FALSE),0.2))</f>
        <v/>
      </c>
      <c r="N59" s="102">
        <f>IF($B59="","",IF('Energy Data Input'!$L59="","Missing reading",IF($I59=0,"Stalled reading / possibly offline",IF($K59&gt;=IFERROR(VLOOKUP($H59,'Base Settings'!$A$13:$K$19,6,FALSE),0.5),"Severe spike",IF($K59&gt;=$M59,"Usage spike",IF($K59&lt;=-IFERROR(VLOOKUP($H59,'Base Settings'!$A$13:$K$19,7,FALSE),0.3),"Usage drop",IF($L59&gt;IFERROR(VLOOKUP($H59,'Base Settings'!$A$13:$K$19,8,FALSE),999999),"Area intensity overrun","Normal")))))))</f>
        <v/>
      </c>
      <c r="O59" s="102">
        <f>IF($N59="","",IF($N59="Normal","Normal",IF(OR($N59="Severe spike",$K59&gt;=IFERROR(VLOOKUP($H59,'Base Settings'!$A$13:$K$19,6,FALSE),0.5)),"Severe",IF(OR($N59="Usage spike",$N59="Usage drop"),"High","Medium"))))</f>
        <v/>
      </c>
      <c r="P59" s="144">
        <f>IF(OR($N59="",$N59="Normal"),0,ABS($I59-$J59)*'Energy Data Input'!$O59)</f>
        <v/>
      </c>
      <c r="Q59" s="102">
        <f>IF($N59="Normal","",IF($N59="Stalled reading / possibly offline","核查表计通信/Electricity池/网关/阀门Status",IF(AND($H59="Water",$N59&lt;&gt;"Normal"),"检查管网、阀门、卫生间、冷却塔及夜间最小流量",IF(AND($H59="Electricity",$N59&lt;&gt;"Normal"),"检查空调、照明、生产设备、PeakOff-peak时段与待机功耗",IF(AND($H59="Gas",$N59&lt;&gt;"Normal"),"检查燃Gas阀门、锅炉/厨房设备与泄漏风险","核查设备工况、排班、产量与计量数据")))))</f>
        <v/>
      </c>
      <c r="R59" s="102">
        <f>IF($H59="","",IFERROR(VLOOKUP($H59,'Base Settings'!$A$13:$K$19,11,FALSE),"Energy management owner"))</f>
        <v/>
      </c>
      <c r="S59" s="102">
        <f>IF($N59="","",IF($N59="Normal","No action needed","Open"))</f>
        <v/>
      </c>
      <c r="T59" s="141">
        <f>IF(OR($B59="",$N59="Normal"),"",WORKDAY($B59,IF($O59="Severe",1,IF($O59="High",2,3))))</f>
        <v/>
      </c>
      <c r="U59" s="102">
        <f>IF($T59="","",IF(AND($S59&lt;&gt;"Closed",TODAY()&gt;$T59),"Overdue","Not overdue"))</f>
        <v/>
      </c>
      <c r="V59" s="102" t="n"/>
      <c r="W59" s="141" t="n"/>
      <c r="X59" s="102" t="n"/>
    </row>
    <row r="60">
      <c r="A60" s="102">
        <f>IF('Energy Data Input'!$A60="","","AL-"&amp;TEXT(ROW()-5,"0000"))</f>
        <v/>
      </c>
      <c r="B60" s="141">
        <f>IF('Energy Data Input'!$B60="","",'Energy Data Input'!$B60)</f>
        <v/>
      </c>
      <c r="C60" s="102">
        <f>IF('Energy Data Input'!$C60="","",'Energy Data Input'!$C60)</f>
        <v/>
      </c>
      <c r="D60" s="102">
        <f>IF('Energy Data Input'!$D60="","",'Energy Data Input'!$D60)</f>
        <v/>
      </c>
      <c r="E60" s="102">
        <f>IF('Energy Data Input'!$E60="","",'Energy Data Input'!$E60)</f>
        <v/>
      </c>
      <c r="F60" s="102">
        <f>IF('Energy Data Input'!$G60="","",'Energy Data Input'!$G60)</f>
        <v/>
      </c>
      <c r="G60" s="102">
        <f>IF('Energy Data Input'!$H60="","",'Energy Data Input'!$H60)</f>
        <v/>
      </c>
      <c r="H60" s="102">
        <f>IF('Energy Data Input'!$J60="","",'Energy Data Input'!$J60)</f>
        <v/>
      </c>
      <c r="I60" s="142">
        <f>IF('Energy Data Input'!$N60="","",'Energy Data Input'!$N60)</f>
        <v/>
      </c>
      <c r="J60" s="142">
        <f>IF($B60="","",IFERROR(AVERAGEIFS('Energy Data Input'!$N$6:$N$205,'Energy Data Input'!$B$6:$B$205,"&gt;="&amp;$B60-7,'Energy Data Input'!$B$6:$B$205,"&lt;"&amp;$B60,'Energy Data Input'!$H$6:$H$205,$G60,'Energy Data Input'!$J$6:$J$205,$H60),$I60))</f>
        <v/>
      </c>
      <c r="K60" s="143">
        <f>IFERROR(($I60-$J60)/$J60,"")</f>
        <v/>
      </c>
      <c r="L60" s="102">
        <f>IF('Energy Data Input'!$V60="","",'Energy Data Input'!$V60)</f>
        <v/>
      </c>
      <c r="M60" s="102">
        <f>IF($H60="","",IFERROR(VLOOKUP($H60,'Base Settings'!$A$13:$K$19,5,FALSE),0.2))</f>
        <v/>
      </c>
      <c r="N60" s="102">
        <f>IF($B60="","",IF('Energy Data Input'!$L60="","Missing reading",IF($I60=0,"Stalled reading / possibly offline",IF($K60&gt;=IFERROR(VLOOKUP($H60,'Base Settings'!$A$13:$K$19,6,FALSE),0.5),"Severe spike",IF($K60&gt;=$M60,"Usage spike",IF($K60&lt;=-IFERROR(VLOOKUP($H60,'Base Settings'!$A$13:$K$19,7,FALSE),0.3),"Usage drop",IF($L60&gt;IFERROR(VLOOKUP($H60,'Base Settings'!$A$13:$K$19,8,FALSE),999999),"Area intensity overrun","Normal")))))))</f>
        <v/>
      </c>
      <c r="O60" s="102">
        <f>IF($N60="","",IF($N60="Normal","Normal",IF(OR($N60="Severe spike",$K60&gt;=IFERROR(VLOOKUP($H60,'Base Settings'!$A$13:$K$19,6,FALSE),0.5)),"Severe",IF(OR($N60="Usage spike",$N60="Usage drop"),"High","Medium"))))</f>
        <v/>
      </c>
      <c r="P60" s="144">
        <f>IF(OR($N60="",$N60="Normal"),0,ABS($I60-$J60)*'Energy Data Input'!$O60)</f>
        <v/>
      </c>
      <c r="Q60" s="102">
        <f>IF($N60="Normal","",IF($N60="Stalled reading / possibly offline","核查表计通信/Electricity池/网关/阀门Status",IF(AND($H60="Water",$N60&lt;&gt;"Normal"),"检查管网、阀门、卫生间、冷却塔及夜间最小流量",IF(AND($H60="Electricity",$N60&lt;&gt;"Normal"),"检查空调、照明、生产设备、PeakOff-peak时段与待机功耗",IF(AND($H60="Gas",$N60&lt;&gt;"Normal"),"检查燃Gas阀门、锅炉/厨房设备与泄漏风险","核查设备工况、排班、产量与计量数据")))))</f>
        <v/>
      </c>
      <c r="R60" s="102">
        <f>IF($H60="","",IFERROR(VLOOKUP($H60,'Base Settings'!$A$13:$K$19,11,FALSE),"Energy management owner"))</f>
        <v/>
      </c>
      <c r="S60" s="102">
        <f>IF($N60="","",IF($N60="Normal","No action needed","Open"))</f>
        <v/>
      </c>
      <c r="T60" s="141">
        <f>IF(OR($B60="",$N60="Normal"),"",WORKDAY($B60,IF($O60="Severe",1,IF($O60="High",2,3))))</f>
        <v/>
      </c>
      <c r="U60" s="102">
        <f>IF($T60="","",IF(AND($S60&lt;&gt;"Closed",TODAY()&gt;$T60),"Overdue","Not overdue"))</f>
        <v/>
      </c>
      <c r="V60" s="102" t="n"/>
      <c r="W60" s="141" t="n"/>
      <c r="X60" s="102" t="n"/>
    </row>
    <row r="61">
      <c r="A61" s="102">
        <f>IF('Energy Data Input'!$A61="","","AL-"&amp;TEXT(ROW()-5,"0000"))</f>
        <v/>
      </c>
      <c r="B61" s="141">
        <f>IF('Energy Data Input'!$B61="","",'Energy Data Input'!$B61)</f>
        <v/>
      </c>
      <c r="C61" s="102">
        <f>IF('Energy Data Input'!$C61="","",'Energy Data Input'!$C61)</f>
        <v/>
      </c>
      <c r="D61" s="102">
        <f>IF('Energy Data Input'!$D61="","",'Energy Data Input'!$D61)</f>
        <v/>
      </c>
      <c r="E61" s="102">
        <f>IF('Energy Data Input'!$E61="","",'Energy Data Input'!$E61)</f>
        <v/>
      </c>
      <c r="F61" s="102">
        <f>IF('Energy Data Input'!$G61="","",'Energy Data Input'!$G61)</f>
        <v/>
      </c>
      <c r="G61" s="102">
        <f>IF('Energy Data Input'!$H61="","",'Energy Data Input'!$H61)</f>
        <v/>
      </c>
      <c r="H61" s="102">
        <f>IF('Energy Data Input'!$J61="","",'Energy Data Input'!$J61)</f>
        <v/>
      </c>
      <c r="I61" s="142">
        <f>IF('Energy Data Input'!$N61="","",'Energy Data Input'!$N61)</f>
        <v/>
      </c>
      <c r="J61" s="142">
        <f>IF($B61="","",IFERROR(AVERAGEIFS('Energy Data Input'!$N$6:$N$205,'Energy Data Input'!$B$6:$B$205,"&gt;="&amp;$B61-7,'Energy Data Input'!$B$6:$B$205,"&lt;"&amp;$B61,'Energy Data Input'!$H$6:$H$205,$G61,'Energy Data Input'!$J$6:$J$205,$H61),$I61))</f>
        <v/>
      </c>
      <c r="K61" s="143">
        <f>IFERROR(($I61-$J61)/$J61,"")</f>
        <v/>
      </c>
      <c r="L61" s="102">
        <f>IF('Energy Data Input'!$V61="","",'Energy Data Input'!$V61)</f>
        <v/>
      </c>
      <c r="M61" s="102">
        <f>IF($H61="","",IFERROR(VLOOKUP($H61,'Base Settings'!$A$13:$K$19,5,FALSE),0.2))</f>
        <v/>
      </c>
      <c r="N61" s="102">
        <f>IF($B61="","",IF('Energy Data Input'!$L61="","Missing reading",IF($I61=0,"Stalled reading / possibly offline",IF($K61&gt;=IFERROR(VLOOKUP($H61,'Base Settings'!$A$13:$K$19,6,FALSE),0.5),"Severe spike",IF($K61&gt;=$M61,"Usage spike",IF($K61&lt;=-IFERROR(VLOOKUP($H61,'Base Settings'!$A$13:$K$19,7,FALSE),0.3),"Usage drop",IF($L61&gt;IFERROR(VLOOKUP($H61,'Base Settings'!$A$13:$K$19,8,FALSE),999999),"Area intensity overrun","Normal")))))))</f>
        <v/>
      </c>
      <c r="O61" s="102">
        <f>IF($N61="","",IF($N61="Normal","Normal",IF(OR($N61="Severe spike",$K61&gt;=IFERROR(VLOOKUP($H61,'Base Settings'!$A$13:$K$19,6,FALSE),0.5)),"Severe",IF(OR($N61="Usage spike",$N61="Usage drop"),"High","Medium"))))</f>
        <v/>
      </c>
      <c r="P61" s="144">
        <f>IF(OR($N61="",$N61="Normal"),0,ABS($I61-$J61)*'Energy Data Input'!$O61)</f>
        <v/>
      </c>
      <c r="Q61" s="102">
        <f>IF($N61="Normal","",IF($N61="Stalled reading / possibly offline","核查表计通信/Electricity池/网关/阀门Status",IF(AND($H61="Water",$N61&lt;&gt;"Normal"),"检查管网、阀门、卫生间、冷却塔及夜间最小流量",IF(AND($H61="Electricity",$N61&lt;&gt;"Normal"),"检查空调、照明、生产设备、PeakOff-peak时段与待机功耗",IF(AND($H61="Gas",$N61&lt;&gt;"Normal"),"检查燃Gas阀门、锅炉/厨房设备与泄漏风险","核查设备工况、排班、产量与计量数据")))))</f>
        <v/>
      </c>
      <c r="R61" s="102">
        <f>IF($H61="","",IFERROR(VLOOKUP($H61,'Base Settings'!$A$13:$K$19,11,FALSE),"Energy management owner"))</f>
        <v/>
      </c>
      <c r="S61" s="102">
        <f>IF($N61="","",IF($N61="Normal","No action needed","Open"))</f>
        <v/>
      </c>
      <c r="T61" s="141">
        <f>IF(OR($B61="",$N61="Normal"),"",WORKDAY($B61,IF($O61="Severe",1,IF($O61="High",2,3))))</f>
        <v/>
      </c>
      <c r="U61" s="102">
        <f>IF($T61="","",IF(AND($S61&lt;&gt;"Closed",TODAY()&gt;$T61),"Overdue","Not overdue"))</f>
        <v/>
      </c>
      <c r="V61" s="102" t="n"/>
      <c r="W61" s="141" t="n"/>
      <c r="X61" s="102" t="n"/>
    </row>
    <row r="62">
      <c r="A62" s="102">
        <f>IF('Energy Data Input'!$A62="","","AL-"&amp;TEXT(ROW()-5,"0000"))</f>
        <v/>
      </c>
      <c r="B62" s="141">
        <f>IF('Energy Data Input'!$B62="","",'Energy Data Input'!$B62)</f>
        <v/>
      </c>
      <c r="C62" s="102">
        <f>IF('Energy Data Input'!$C62="","",'Energy Data Input'!$C62)</f>
        <v/>
      </c>
      <c r="D62" s="102">
        <f>IF('Energy Data Input'!$D62="","",'Energy Data Input'!$D62)</f>
        <v/>
      </c>
      <c r="E62" s="102">
        <f>IF('Energy Data Input'!$E62="","",'Energy Data Input'!$E62)</f>
        <v/>
      </c>
      <c r="F62" s="102">
        <f>IF('Energy Data Input'!$G62="","",'Energy Data Input'!$G62)</f>
        <v/>
      </c>
      <c r="G62" s="102">
        <f>IF('Energy Data Input'!$H62="","",'Energy Data Input'!$H62)</f>
        <v/>
      </c>
      <c r="H62" s="102">
        <f>IF('Energy Data Input'!$J62="","",'Energy Data Input'!$J62)</f>
        <v/>
      </c>
      <c r="I62" s="142">
        <f>IF('Energy Data Input'!$N62="","",'Energy Data Input'!$N62)</f>
        <v/>
      </c>
      <c r="J62" s="142">
        <f>IF($B62="","",IFERROR(AVERAGEIFS('Energy Data Input'!$N$6:$N$205,'Energy Data Input'!$B$6:$B$205,"&gt;="&amp;$B62-7,'Energy Data Input'!$B$6:$B$205,"&lt;"&amp;$B62,'Energy Data Input'!$H$6:$H$205,$G62,'Energy Data Input'!$J$6:$J$205,$H62),$I62))</f>
        <v/>
      </c>
      <c r="K62" s="143">
        <f>IFERROR(($I62-$J62)/$J62,"")</f>
        <v/>
      </c>
      <c r="L62" s="102">
        <f>IF('Energy Data Input'!$V62="","",'Energy Data Input'!$V62)</f>
        <v/>
      </c>
      <c r="M62" s="102">
        <f>IF($H62="","",IFERROR(VLOOKUP($H62,'Base Settings'!$A$13:$K$19,5,FALSE),0.2))</f>
        <v/>
      </c>
      <c r="N62" s="102">
        <f>IF($B62="","",IF('Energy Data Input'!$L62="","Missing reading",IF($I62=0,"Stalled reading / possibly offline",IF($K62&gt;=IFERROR(VLOOKUP($H62,'Base Settings'!$A$13:$K$19,6,FALSE),0.5),"Severe spike",IF($K62&gt;=$M62,"Usage spike",IF($K62&lt;=-IFERROR(VLOOKUP($H62,'Base Settings'!$A$13:$K$19,7,FALSE),0.3),"Usage drop",IF($L62&gt;IFERROR(VLOOKUP($H62,'Base Settings'!$A$13:$K$19,8,FALSE),999999),"Area intensity overrun","Normal")))))))</f>
        <v/>
      </c>
      <c r="O62" s="102">
        <f>IF($N62="","",IF($N62="Normal","Normal",IF(OR($N62="Severe spike",$K62&gt;=IFERROR(VLOOKUP($H62,'Base Settings'!$A$13:$K$19,6,FALSE),0.5)),"Severe",IF(OR($N62="Usage spike",$N62="Usage drop"),"High","Medium"))))</f>
        <v/>
      </c>
      <c r="P62" s="144">
        <f>IF(OR($N62="",$N62="Normal"),0,ABS($I62-$J62)*'Energy Data Input'!$O62)</f>
        <v/>
      </c>
      <c r="Q62" s="102">
        <f>IF($N62="Normal","",IF($N62="Stalled reading / possibly offline","核查表计通信/Electricity池/网关/阀门Status",IF(AND($H62="Water",$N62&lt;&gt;"Normal"),"检查管网、阀门、卫生间、冷却塔及夜间最小流量",IF(AND($H62="Electricity",$N62&lt;&gt;"Normal"),"检查空调、照明、生产设备、PeakOff-peak时段与待机功耗",IF(AND($H62="Gas",$N62&lt;&gt;"Normal"),"检查燃Gas阀门、锅炉/厨房设备与泄漏风险","核查设备工况、排班、产量与计量数据")))))</f>
        <v/>
      </c>
      <c r="R62" s="102">
        <f>IF($H62="","",IFERROR(VLOOKUP($H62,'Base Settings'!$A$13:$K$19,11,FALSE),"Energy management owner"))</f>
        <v/>
      </c>
      <c r="S62" s="102">
        <f>IF($N62="","",IF($N62="Normal","No action needed","Open"))</f>
        <v/>
      </c>
      <c r="T62" s="141">
        <f>IF(OR($B62="",$N62="Normal"),"",WORKDAY($B62,IF($O62="Severe",1,IF($O62="High",2,3))))</f>
        <v/>
      </c>
      <c r="U62" s="102">
        <f>IF($T62="","",IF(AND($S62&lt;&gt;"Closed",TODAY()&gt;$T62),"Overdue","Not overdue"))</f>
        <v/>
      </c>
      <c r="V62" s="102" t="n"/>
      <c r="W62" s="141" t="n"/>
      <c r="X62" s="102" t="n"/>
    </row>
    <row r="63">
      <c r="A63" s="102">
        <f>IF('Energy Data Input'!$A63="","","AL-"&amp;TEXT(ROW()-5,"0000"))</f>
        <v/>
      </c>
      <c r="B63" s="141">
        <f>IF('Energy Data Input'!$B63="","",'Energy Data Input'!$B63)</f>
        <v/>
      </c>
      <c r="C63" s="102">
        <f>IF('Energy Data Input'!$C63="","",'Energy Data Input'!$C63)</f>
        <v/>
      </c>
      <c r="D63" s="102">
        <f>IF('Energy Data Input'!$D63="","",'Energy Data Input'!$D63)</f>
        <v/>
      </c>
      <c r="E63" s="102">
        <f>IF('Energy Data Input'!$E63="","",'Energy Data Input'!$E63)</f>
        <v/>
      </c>
      <c r="F63" s="102">
        <f>IF('Energy Data Input'!$G63="","",'Energy Data Input'!$G63)</f>
        <v/>
      </c>
      <c r="G63" s="102">
        <f>IF('Energy Data Input'!$H63="","",'Energy Data Input'!$H63)</f>
        <v/>
      </c>
      <c r="H63" s="102">
        <f>IF('Energy Data Input'!$J63="","",'Energy Data Input'!$J63)</f>
        <v/>
      </c>
      <c r="I63" s="142">
        <f>IF('Energy Data Input'!$N63="","",'Energy Data Input'!$N63)</f>
        <v/>
      </c>
      <c r="J63" s="142">
        <f>IF($B63="","",IFERROR(AVERAGEIFS('Energy Data Input'!$N$6:$N$205,'Energy Data Input'!$B$6:$B$205,"&gt;="&amp;$B63-7,'Energy Data Input'!$B$6:$B$205,"&lt;"&amp;$B63,'Energy Data Input'!$H$6:$H$205,$G63,'Energy Data Input'!$J$6:$J$205,$H63),$I63))</f>
        <v/>
      </c>
      <c r="K63" s="143">
        <f>IFERROR(($I63-$J63)/$J63,"")</f>
        <v/>
      </c>
      <c r="L63" s="102">
        <f>IF('Energy Data Input'!$V63="","",'Energy Data Input'!$V63)</f>
        <v/>
      </c>
      <c r="M63" s="102">
        <f>IF($H63="","",IFERROR(VLOOKUP($H63,'Base Settings'!$A$13:$K$19,5,FALSE),0.2))</f>
        <v/>
      </c>
      <c r="N63" s="102">
        <f>IF($B63="","",IF('Energy Data Input'!$L63="","Missing reading",IF($I63=0,"Stalled reading / possibly offline",IF($K63&gt;=IFERROR(VLOOKUP($H63,'Base Settings'!$A$13:$K$19,6,FALSE),0.5),"Severe spike",IF($K63&gt;=$M63,"Usage spike",IF($K63&lt;=-IFERROR(VLOOKUP($H63,'Base Settings'!$A$13:$K$19,7,FALSE),0.3),"Usage drop",IF($L63&gt;IFERROR(VLOOKUP($H63,'Base Settings'!$A$13:$K$19,8,FALSE),999999),"Area intensity overrun","Normal")))))))</f>
        <v/>
      </c>
      <c r="O63" s="102">
        <f>IF($N63="","",IF($N63="Normal","Normal",IF(OR($N63="Severe spike",$K63&gt;=IFERROR(VLOOKUP($H63,'Base Settings'!$A$13:$K$19,6,FALSE),0.5)),"Severe",IF(OR($N63="Usage spike",$N63="Usage drop"),"High","Medium"))))</f>
        <v/>
      </c>
      <c r="P63" s="144">
        <f>IF(OR($N63="",$N63="Normal"),0,ABS($I63-$J63)*'Energy Data Input'!$O63)</f>
        <v/>
      </c>
      <c r="Q63" s="102">
        <f>IF($N63="Normal","",IF($N63="Stalled reading / possibly offline","核查表计通信/Electricity池/网关/阀门Status",IF(AND($H63="Water",$N63&lt;&gt;"Normal"),"检查管网、阀门、卫生间、冷却塔及夜间最小流量",IF(AND($H63="Electricity",$N63&lt;&gt;"Normal"),"检查空调、照明、生产设备、PeakOff-peak时段与待机功耗",IF(AND($H63="Gas",$N63&lt;&gt;"Normal"),"检查燃Gas阀门、锅炉/厨房设备与泄漏风险","核查设备工况、排班、产量与计量数据")))))</f>
        <v/>
      </c>
      <c r="R63" s="102">
        <f>IF($H63="","",IFERROR(VLOOKUP($H63,'Base Settings'!$A$13:$K$19,11,FALSE),"Energy management owner"))</f>
        <v/>
      </c>
      <c r="S63" s="102">
        <f>IF($N63="","",IF($N63="Normal","No action needed","Open"))</f>
        <v/>
      </c>
      <c r="T63" s="141">
        <f>IF(OR($B63="",$N63="Normal"),"",WORKDAY($B63,IF($O63="Severe",1,IF($O63="High",2,3))))</f>
        <v/>
      </c>
      <c r="U63" s="102">
        <f>IF($T63="","",IF(AND($S63&lt;&gt;"Closed",TODAY()&gt;$T63),"Overdue","Not overdue"))</f>
        <v/>
      </c>
      <c r="V63" s="102" t="n"/>
      <c r="W63" s="141" t="n"/>
      <c r="X63" s="102" t="n"/>
    </row>
    <row r="64">
      <c r="A64" s="102">
        <f>IF('Energy Data Input'!$A64="","","AL-"&amp;TEXT(ROW()-5,"0000"))</f>
        <v/>
      </c>
      <c r="B64" s="141">
        <f>IF('Energy Data Input'!$B64="","",'Energy Data Input'!$B64)</f>
        <v/>
      </c>
      <c r="C64" s="102">
        <f>IF('Energy Data Input'!$C64="","",'Energy Data Input'!$C64)</f>
        <v/>
      </c>
      <c r="D64" s="102">
        <f>IF('Energy Data Input'!$D64="","",'Energy Data Input'!$D64)</f>
        <v/>
      </c>
      <c r="E64" s="102">
        <f>IF('Energy Data Input'!$E64="","",'Energy Data Input'!$E64)</f>
        <v/>
      </c>
      <c r="F64" s="102">
        <f>IF('Energy Data Input'!$G64="","",'Energy Data Input'!$G64)</f>
        <v/>
      </c>
      <c r="G64" s="102">
        <f>IF('Energy Data Input'!$H64="","",'Energy Data Input'!$H64)</f>
        <v/>
      </c>
      <c r="H64" s="102">
        <f>IF('Energy Data Input'!$J64="","",'Energy Data Input'!$J64)</f>
        <v/>
      </c>
      <c r="I64" s="142">
        <f>IF('Energy Data Input'!$N64="","",'Energy Data Input'!$N64)</f>
        <v/>
      </c>
      <c r="J64" s="142">
        <f>IF($B64="","",IFERROR(AVERAGEIFS('Energy Data Input'!$N$6:$N$205,'Energy Data Input'!$B$6:$B$205,"&gt;="&amp;$B64-7,'Energy Data Input'!$B$6:$B$205,"&lt;"&amp;$B64,'Energy Data Input'!$H$6:$H$205,$G64,'Energy Data Input'!$J$6:$J$205,$H64),$I64))</f>
        <v/>
      </c>
      <c r="K64" s="143">
        <f>IFERROR(($I64-$J64)/$J64,"")</f>
        <v/>
      </c>
      <c r="L64" s="102">
        <f>IF('Energy Data Input'!$V64="","",'Energy Data Input'!$V64)</f>
        <v/>
      </c>
      <c r="M64" s="102">
        <f>IF($H64="","",IFERROR(VLOOKUP($H64,'Base Settings'!$A$13:$K$19,5,FALSE),0.2))</f>
        <v/>
      </c>
      <c r="N64" s="102">
        <f>IF($B64="","",IF('Energy Data Input'!$L64="","Missing reading",IF($I64=0,"Stalled reading / possibly offline",IF($K64&gt;=IFERROR(VLOOKUP($H64,'Base Settings'!$A$13:$K$19,6,FALSE),0.5),"Severe spike",IF($K64&gt;=$M64,"Usage spike",IF($K64&lt;=-IFERROR(VLOOKUP($H64,'Base Settings'!$A$13:$K$19,7,FALSE),0.3),"Usage drop",IF($L64&gt;IFERROR(VLOOKUP($H64,'Base Settings'!$A$13:$K$19,8,FALSE),999999),"Area intensity overrun","Normal")))))))</f>
        <v/>
      </c>
      <c r="O64" s="102">
        <f>IF($N64="","",IF($N64="Normal","Normal",IF(OR($N64="Severe spike",$K64&gt;=IFERROR(VLOOKUP($H64,'Base Settings'!$A$13:$K$19,6,FALSE),0.5)),"Severe",IF(OR($N64="Usage spike",$N64="Usage drop"),"High","Medium"))))</f>
        <v/>
      </c>
      <c r="P64" s="144">
        <f>IF(OR($N64="",$N64="Normal"),0,ABS($I64-$J64)*'Energy Data Input'!$O64)</f>
        <v/>
      </c>
      <c r="Q64" s="102">
        <f>IF($N64="Normal","",IF($N64="Stalled reading / possibly offline","核查表计通信/Electricity池/网关/阀门Status",IF(AND($H64="Water",$N64&lt;&gt;"Normal"),"检查管网、阀门、卫生间、冷却塔及夜间最小流量",IF(AND($H64="Electricity",$N64&lt;&gt;"Normal"),"检查空调、照明、生产设备、PeakOff-peak时段与待机功耗",IF(AND($H64="Gas",$N64&lt;&gt;"Normal"),"检查燃Gas阀门、锅炉/厨房设备与泄漏风险","核查设备工况、排班、产量与计量数据")))))</f>
        <v/>
      </c>
      <c r="R64" s="102">
        <f>IF($H64="","",IFERROR(VLOOKUP($H64,'Base Settings'!$A$13:$K$19,11,FALSE),"Energy management owner"))</f>
        <v/>
      </c>
      <c r="S64" s="102">
        <f>IF($N64="","",IF($N64="Normal","No action needed","Open"))</f>
        <v/>
      </c>
      <c r="T64" s="141">
        <f>IF(OR($B64="",$N64="Normal"),"",WORKDAY($B64,IF($O64="Severe",1,IF($O64="High",2,3))))</f>
        <v/>
      </c>
      <c r="U64" s="102">
        <f>IF($T64="","",IF(AND($S64&lt;&gt;"Closed",TODAY()&gt;$T64),"Overdue","Not overdue"))</f>
        <v/>
      </c>
      <c r="V64" s="102" t="n"/>
      <c r="W64" s="141" t="n"/>
      <c r="X64" s="102" t="n"/>
    </row>
    <row r="65">
      <c r="A65" s="102">
        <f>IF('Energy Data Input'!$A65="","","AL-"&amp;TEXT(ROW()-5,"0000"))</f>
        <v/>
      </c>
      <c r="B65" s="141">
        <f>IF('Energy Data Input'!$B65="","",'Energy Data Input'!$B65)</f>
        <v/>
      </c>
      <c r="C65" s="102">
        <f>IF('Energy Data Input'!$C65="","",'Energy Data Input'!$C65)</f>
        <v/>
      </c>
      <c r="D65" s="102">
        <f>IF('Energy Data Input'!$D65="","",'Energy Data Input'!$D65)</f>
        <v/>
      </c>
      <c r="E65" s="102">
        <f>IF('Energy Data Input'!$E65="","",'Energy Data Input'!$E65)</f>
        <v/>
      </c>
      <c r="F65" s="102">
        <f>IF('Energy Data Input'!$G65="","",'Energy Data Input'!$G65)</f>
        <v/>
      </c>
      <c r="G65" s="102">
        <f>IF('Energy Data Input'!$H65="","",'Energy Data Input'!$H65)</f>
        <v/>
      </c>
      <c r="H65" s="102">
        <f>IF('Energy Data Input'!$J65="","",'Energy Data Input'!$J65)</f>
        <v/>
      </c>
      <c r="I65" s="142">
        <f>IF('Energy Data Input'!$N65="","",'Energy Data Input'!$N65)</f>
        <v/>
      </c>
      <c r="J65" s="142">
        <f>IF($B65="","",IFERROR(AVERAGEIFS('Energy Data Input'!$N$6:$N$205,'Energy Data Input'!$B$6:$B$205,"&gt;="&amp;$B65-7,'Energy Data Input'!$B$6:$B$205,"&lt;"&amp;$B65,'Energy Data Input'!$H$6:$H$205,$G65,'Energy Data Input'!$J$6:$J$205,$H65),$I65))</f>
        <v/>
      </c>
      <c r="K65" s="143">
        <f>IFERROR(($I65-$J65)/$J65,"")</f>
        <v/>
      </c>
      <c r="L65" s="102">
        <f>IF('Energy Data Input'!$V65="","",'Energy Data Input'!$V65)</f>
        <v/>
      </c>
      <c r="M65" s="102">
        <f>IF($H65="","",IFERROR(VLOOKUP($H65,'Base Settings'!$A$13:$K$19,5,FALSE),0.2))</f>
        <v/>
      </c>
      <c r="N65" s="102">
        <f>IF($B65="","",IF('Energy Data Input'!$L65="","Missing reading",IF($I65=0,"Stalled reading / possibly offline",IF($K65&gt;=IFERROR(VLOOKUP($H65,'Base Settings'!$A$13:$K$19,6,FALSE),0.5),"Severe spike",IF($K65&gt;=$M65,"Usage spike",IF($K65&lt;=-IFERROR(VLOOKUP($H65,'Base Settings'!$A$13:$K$19,7,FALSE),0.3),"Usage drop",IF($L65&gt;IFERROR(VLOOKUP($H65,'Base Settings'!$A$13:$K$19,8,FALSE),999999),"Area intensity overrun","Normal")))))))</f>
        <v/>
      </c>
      <c r="O65" s="102">
        <f>IF($N65="","",IF($N65="Normal","Normal",IF(OR($N65="Severe spike",$K65&gt;=IFERROR(VLOOKUP($H65,'Base Settings'!$A$13:$K$19,6,FALSE),0.5)),"Severe",IF(OR($N65="Usage spike",$N65="Usage drop"),"High","Medium"))))</f>
        <v/>
      </c>
      <c r="P65" s="144">
        <f>IF(OR($N65="",$N65="Normal"),0,ABS($I65-$J65)*'Energy Data Input'!$O65)</f>
        <v/>
      </c>
      <c r="Q65" s="102">
        <f>IF($N65="Normal","",IF($N65="Stalled reading / possibly offline","核查表计通信/Electricity池/网关/阀门Status",IF(AND($H65="Water",$N65&lt;&gt;"Normal"),"检查管网、阀门、卫生间、冷却塔及夜间最小流量",IF(AND($H65="Electricity",$N65&lt;&gt;"Normal"),"检查空调、照明、生产设备、PeakOff-peak时段与待机功耗",IF(AND($H65="Gas",$N65&lt;&gt;"Normal"),"检查燃Gas阀门、锅炉/厨房设备与泄漏风险","核查设备工况、排班、产量与计量数据")))))</f>
        <v/>
      </c>
      <c r="R65" s="102">
        <f>IF($H65="","",IFERROR(VLOOKUP($H65,'Base Settings'!$A$13:$K$19,11,FALSE),"Energy management owner"))</f>
        <v/>
      </c>
      <c r="S65" s="102">
        <f>IF($N65="","",IF($N65="Normal","No action needed","Open"))</f>
        <v/>
      </c>
      <c r="T65" s="141">
        <f>IF(OR($B65="",$N65="Normal"),"",WORKDAY($B65,IF($O65="Severe",1,IF($O65="High",2,3))))</f>
        <v/>
      </c>
      <c r="U65" s="102">
        <f>IF($T65="","",IF(AND($S65&lt;&gt;"Closed",TODAY()&gt;$T65),"Overdue","Not overdue"))</f>
        <v/>
      </c>
      <c r="V65" s="102" t="n"/>
      <c r="W65" s="141" t="n"/>
      <c r="X65" s="102" t="n"/>
    </row>
    <row r="66">
      <c r="A66" s="102">
        <f>IF('Energy Data Input'!$A66="","","AL-"&amp;TEXT(ROW()-5,"0000"))</f>
        <v/>
      </c>
      <c r="B66" s="141">
        <f>IF('Energy Data Input'!$B66="","",'Energy Data Input'!$B66)</f>
        <v/>
      </c>
      <c r="C66" s="102">
        <f>IF('Energy Data Input'!$C66="","",'Energy Data Input'!$C66)</f>
        <v/>
      </c>
      <c r="D66" s="102">
        <f>IF('Energy Data Input'!$D66="","",'Energy Data Input'!$D66)</f>
        <v/>
      </c>
      <c r="E66" s="102">
        <f>IF('Energy Data Input'!$E66="","",'Energy Data Input'!$E66)</f>
        <v/>
      </c>
      <c r="F66" s="102">
        <f>IF('Energy Data Input'!$G66="","",'Energy Data Input'!$G66)</f>
        <v/>
      </c>
      <c r="G66" s="102">
        <f>IF('Energy Data Input'!$H66="","",'Energy Data Input'!$H66)</f>
        <v/>
      </c>
      <c r="H66" s="102">
        <f>IF('Energy Data Input'!$J66="","",'Energy Data Input'!$J66)</f>
        <v/>
      </c>
      <c r="I66" s="142">
        <f>IF('Energy Data Input'!$N66="","",'Energy Data Input'!$N66)</f>
        <v/>
      </c>
      <c r="J66" s="142">
        <f>IF($B66="","",IFERROR(AVERAGEIFS('Energy Data Input'!$N$6:$N$205,'Energy Data Input'!$B$6:$B$205,"&gt;="&amp;$B66-7,'Energy Data Input'!$B$6:$B$205,"&lt;"&amp;$B66,'Energy Data Input'!$H$6:$H$205,$G66,'Energy Data Input'!$J$6:$J$205,$H66),$I66))</f>
        <v/>
      </c>
      <c r="K66" s="143">
        <f>IFERROR(($I66-$J66)/$J66,"")</f>
        <v/>
      </c>
      <c r="L66" s="102">
        <f>IF('Energy Data Input'!$V66="","",'Energy Data Input'!$V66)</f>
        <v/>
      </c>
      <c r="M66" s="102">
        <f>IF($H66="","",IFERROR(VLOOKUP($H66,'Base Settings'!$A$13:$K$19,5,FALSE),0.2))</f>
        <v/>
      </c>
      <c r="N66" s="102">
        <f>IF($B66="","",IF('Energy Data Input'!$L66="","Missing reading",IF($I66=0,"Stalled reading / possibly offline",IF($K66&gt;=IFERROR(VLOOKUP($H66,'Base Settings'!$A$13:$K$19,6,FALSE),0.5),"Severe spike",IF($K66&gt;=$M66,"Usage spike",IF($K66&lt;=-IFERROR(VLOOKUP($H66,'Base Settings'!$A$13:$K$19,7,FALSE),0.3),"Usage drop",IF($L66&gt;IFERROR(VLOOKUP($H66,'Base Settings'!$A$13:$K$19,8,FALSE),999999),"Area intensity overrun","Normal")))))))</f>
        <v/>
      </c>
      <c r="O66" s="102">
        <f>IF($N66="","",IF($N66="Normal","Normal",IF(OR($N66="Severe spike",$K66&gt;=IFERROR(VLOOKUP($H66,'Base Settings'!$A$13:$K$19,6,FALSE),0.5)),"Severe",IF(OR($N66="Usage spike",$N66="Usage drop"),"High","Medium"))))</f>
        <v/>
      </c>
      <c r="P66" s="144">
        <f>IF(OR($N66="",$N66="Normal"),0,ABS($I66-$J66)*'Energy Data Input'!$O66)</f>
        <v/>
      </c>
      <c r="Q66" s="102">
        <f>IF($N66="Normal","",IF($N66="Stalled reading / possibly offline","核查表计通信/Electricity池/网关/阀门Status",IF(AND($H66="Water",$N66&lt;&gt;"Normal"),"检查管网、阀门、卫生间、冷却塔及夜间最小流量",IF(AND($H66="Electricity",$N66&lt;&gt;"Normal"),"检查空调、照明、生产设备、PeakOff-peak时段与待机功耗",IF(AND($H66="Gas",$N66&lt;&gt;"Normal"),"检查燃Gas阀门、锅炉/厨房设备与泄漏风险","核查设备工况、排班、产量与计量数据")))))</f>
        <v/>
      </c>
      <c r="R66" s="102">
        <f>IF($H66="","",IFERROR(VLOOKUP($H66,'Base Settings'!$A$13:$K$19,11,FALSE),"Energy management owner"))</f>
        <v/>
      </c>
      <c r="S66" s="102">
        <f>IF($N66="","",IF($N66="Normal","No action needed","Open"))</f>
        <v/>
      </c>
      <c r="T66" s="141">
        <f>IF(OR($B66="",$N66="Normal"),"",WORKDAY($B66,IF($O66="Severe",1,IF($O66="High",2,3))))</f>
        <v/>
      </c>
      <c r="U66" s="102">
        <f>IF($T66="","",IF(AND($S66&lt;&gt;"Closed",TODAY()&gt;$T66),"Overdue","Not overdue"))</f>
        <v/>
      </c>
      <c r="V66" s="102" t="n"/>
      <c r="W66" s="141" t="n"/>
      <c r="X66" s="102" t="n"/>
    </row>
    <row r="67">
      <c r="A67" s="102">
        <f>IF('Energy Data Input'!$A67="","","AL-"&amp;TEXT(ROW()-5,"0000"))</f>
        <v/>
      </c>
      <c r="B67" s="141">
        <f>IF('Energy Data Input'!$B67="","",'Energy Data Input'!$B67)</f>
        <v/>
      </c>
      <c r="C67" s="102">
        <f>IF('Energy Data Input'!$C67="","",'Energy Data Input'!$C67)</f>
        <v/>
      </c>
      <c r="D67" s="102">
        <f>IF('Energy Data Input'!$D67="","",'Energy Data Input'!$D67)</f>
        <v/>
      </c>
      <c r="E67" s="102">
        <f>IF('Energy Data Input'!$E67="","",'Energy Data Input'!$E67)</f>
        <v/>
      </c>
      <c r="F67" s="102">
        <f>IF('Energy Data Input'!$G67="","",'Energy Data Input'!$G67)</f>
        <v/>
      </c>
      <c r="G67" s="102">
        <f>IF('Energy Data Input'!$H67="","",'Energy Data Input'!$H67)</f>
        <v/>
      </c>
      <c r="H67" s="102">
        <f>IF('Energy Data Input'!$J67="","",'Energy Data Input'!$J67)</f>
        <v/>
      </c>
      <c r="I67" s="142">
        <f>IF('Energy Data Input'!$N67="","",'Energy Data Input'!$N67)</f>
        <v/>
      </c>
      <c r="J67" s="142">
        <f>IF($B67="","",IFERROR(AVERAGEIFS('Energy Data Input'!$N$6:$N$205,'Energy Data Input'!$B$6:$B$205,"&gt;="&amp;$B67-7,'Energy Data Input'!$B$6:$B$205,"&lt;"&amp;$B67,'Energy Data Input'!$H$6:$H$205,$G67,'Energy Data Input'!$J$6:$J$205,$H67),$I67))</f>
        <v/>
      </c>
      <c r="K67" s="143">
        <f>IFERROR(($I67-$J67)/$J67,"")</f>
        <v/>
      </c>
      <c r="L67" s="102">
        <f>IF('Energy Data Input'!$V67="","",'Energy Data Input'!$V67)</f>
        <v/>
      </c>
      <c r="M67" s="102">
        <f>IF($H67="","",IFERROR(VLOOKUP($H67,'Base Settings'!$A$13:$K$19,5,FALSE),0.2))</f>
        <v/>
      </c>
      <c r="N67" s="102">
        <f>IF($B67="","",IF('Energy Data Input'!$L67="","Missing reading",IF($I67=0,"Stalled reading / possibly offline",IF($K67&gt;=IFERROR(VLOOKUP($H67,'Base Settings'!$A$13:$K$19,6,FALSE),0.5),"Severe spike",IF($K67&gt;=$M67,"Usage spike",IF($K67&lt;=-IFERROR(VLOOKUP($H67,'Base Settings'!$A$13:$K$19,7,FALSE),0.3),"Usage drop",IF($L67&gt;IFERROR(VLOOKUP($H67,'Base Settings'!$A$13:$K$19,8,FALSE),999999),"Area intensity overrun","Normal")))))))</f>
        <v/>
      </c>
      <c r="O67" s="102">
        <f>IF($N67="","",IF($N67="Normal","Normal",IF(OR($N67="Severe spike",$K67&gt;=IFERROR(VLOOKUP($H67,'Base Settings'!$A$13:$K$19,6,FALSE),0.5)),"Severe",IF(OR($N67="Usage spike",$N67="Usage drop"),"High","Medium"))))</f>
        <v/>
      </c>
      <c r="P67" s="144">
        <f>IF(OR($N67="",$N67="Normal"),0,ABS($I67-$J67)*'Energy Data Input'!$O67)</f>
        <v/>
      </c>
      <c r="Q67" s="102">
        <f>IF($N67="Normal","",IF($N67="Stalled reading / possibly offline","核查表计通信/Electricity池/网关/阀门Status",IF(AND($H67="Water",$N67&lt;&gt;"Normal"),"检查管网、阀门、卫生间、冷却塔及夜间最小流量",IF(AND($H67="Electricity",$N67&lt;&gt;"Normal"),"检查空调、照明、生产设备、PeakOff-peak时段与待机功耗",IF(AND($H67="Gas",$N67&lt;&gt;"Normal"),"检查燃Gas阀门、锅炉/厨房设备与泄漏风险","核查设备工况、排班、产量与计量数据")))))</f>
        <v/>
      </c>
      <c r="R67" s="102">
        <f>IF($H67="","",IFERROR(VLOOKUP($H67,'Base Settings'!$A$13:$K$19,11,FALSE),"Energy management owner"))</f>
        <v/>
      </c>
      <c r="S67" s="102">
        <f>IF($N67="","",IF($N67="Normal","No action needed","Open"))</f>
        <v/>
      </c>
      <c r="T67" s="141">
        <f>IF(OR($B67="",$N67="Normal"),"",WORKDAY($B67,IF($O67="Severe",1,IF($O67="High",2,3))))</f>
        <v/>
      </c>
      <c r="U67" s="102">
        <f>IF($T67="","",IF(AND($S67&lt;&gt;"Closed",TODAY()&gt;$T67),"Overdue","Not overdue"))</f>
        <v/>
      </c>
      <c r="V67" s="102" t="n"/>
      <c r="W67" s="141" t="n"/>
      <c r="X67" s="102" t="n"/>
    </row>
    <row r="68">
      <c r="A68" s="102">
        <f>IF('Energy Data Input'!$A68="","","AL-"&amp;TEXT(ROW()-5,"0000"))</f>
        <v/>
      </c>
      <c r="B68" s="141">
        <f>IF('Energy Data Input'!$B68="","",'Energy Data Input'!$B68)</f>
        <v/>
      </c>
      <c r="C68" s="102">
        <f>IF('Energy Data Input'!$C68="","",'Energy Data Input'!$C68)</f>
        <v/>
      </c>
      <c r="D68" s="102">
        <f>IF('Energy Data Input'!$D68="","",'Energy Data Input'!$D68)</f>
        <v/>
      </c>
      <c r="E68" s="102">
        <f>IF('Energy Data Input'!$E68="","",'Energy Data Input'!$E68)</f>
        <v/>
      </c>
      <c r="F68" s="102">
        <f>IF('Energy Data Input'!$G68="","",'Energy Data Input'!$G68)</f>
        <v/>
      </c>
      <c r="G68" s="102">
        <f>IF('Energy Data Input'!$H68="","",'Energy Data Input'!$H68)</f>
        <v/>
      </c>
      <c r="H68" s="102">
        <f>IF('Energy Data Input'!$J68="","",'Energy Data Input'!$J68)</f>
        <v/>
      </c>
      <c r="I68" s="142">
        <f>IF('Energy Data Input'!$N68="","",'Energy Data Input'!$N68)</f>
        <v/>
      </c>
      <c r="J68" s="142">
        <f>IF($B68="","",IFERROR(AVERAGEIFS('Energy Data Input'!$N$6:$N$205,'Energy Data Input'!$B$6:$B$205,"&gt;="&amp;$B68-7,'Energy Data Input'!$B$6:$B$205,"&lt;"&amp;$B68,'Energy Data Input'!$H$6:$H$205,$G68,'Energy Data Input'!$J$6:$J$205,$H68),$I68))</f>
        <v/>
      </c>
      <c r="K68" s="143">
        <f>IFERROR(($I68-$J68)/$J68,"")</f>
        <v/>
      </c>
      <c r="L68" s="102">
        <f>IF('Energy Data Input'!$V68="","",'Energy Data Input'!$V68)</f>
        <v/>
      </c>
      <c r="M68" s="102">
        <f>IF($H68="","",IFERROR(VLOOKUP($H68,'Base Settings'!$A$13:$K$19,5,FALSE),0.2))</f>
        <v/>
      </c>
      <c r="N68" s="102">
        <f>IF($B68="","",IF('Energy Data Input'!$L68="","Missing reading",IF($I68=0,"Stalled reading / possibly offline",IF($K68&gt;=IFERROR(VLOOKUP($H68,'Base Settings'!$A$13:$K$19,6,FALSE),0.5),"Severe spike",IF($K68&gt;=$M68,"Usage spike",IF($K68&lt;=-IFERROR(VLOOKUP($H68,'Base Settings'!$A$13:$K$19,7,FALSE),0.3),"Usage drop",IF($L68&gt;IFERROR(VLOOKUP($H68,'Base Settings'!$A$13:$K$19,8,FALSE),999999),"Area intensity overrun","Normal")))))))</f>
        <v/>
      </c>
      <c r="O68" s="102">
        <f>IF($N68="","",IF($N68="Normal","Normal",IF(OR($N68="Severe spike",$K68&gt;=IFERROR(VLOOKUP($H68,'Base Settings'!$A$13:$K$19,6,FALSE),0.5)),"Severe",IF(OR($N68="Usage spike",$N68="Usage drop"),"High","Medium"))))</f>
        <v/>
      </c>
      <c r="P68" s="144">
        <f>IF(OR($N68="",$N68="Normal"),0,ABS($I68-$J68)*'Energy Data Input'!$O68)</f>
        <v/>
      </c>
      <c r="Q68" s="102">
        <f>IF($N68="Normal","",IF($N68="Stalled reading / possibly offline","核查表计通信/Electricity池/网关/阀门Status",IF(AND($H68="Water",$N68&lt;&gt;"Normal"),"检查管网、阀门、卫生间、冷却塔及夜间最小流量",IF(AND($H68="Electricity",$N68&lt;&gt;"Normal"),"检查空调、照明、生产设备、PeakOff-peak时段与待机功耗",IF(AND($H68="Gas",$N68&lt;&gt;"Normal"),"检查燃Gas阀门、锅炉/厨房设备与泄漏风险","核查设备工况、排班、产量与计量数据")))))</f>
        <v/>
      </c>
      <c r="R68" s="102">
        <f>IF($H68="","",IFERROR(VLOOKUP($H68,'Base Settings'!$A$13:$K$19,11,FALSE),"Energy management owner"))</f>
        <v/>
      </c>
      <c r="S68" s="102">
        <f>IF($N68="","",IF($N68="Normal","No action needed","Open"))</f>
        <v/>
      </c>
      <c r="T68" s="141">
        <f>IF(OR($B68="",$N68="Normal"),"",WORKDAY($B68,IF($O68="Severe",1,IF($O68="High",2,3))))</f>
        <v/>
      </c>
      <c r="U68" s="102">
        <f>IF($T68="","",IF(AND($S68&lt;&gt;"Closed",TODAY()&gt;$T68),"Overdue","Not overdue"))</f>
        <v/>
      </c>
      <c r="V68" s="102" t="n"/>
      <c r="W68" s="141" t="n"/>
      <c r="X68" s="102" t="n"/>
    </row>
    <row r="69">
      <c r="A69" s="102">
        <f>IF('Energy Data Input'!$A69="","","AL-"&amp;TEXT(ROW()-5,"0000"))</f>
        <v/>
      </c>
      <c r="B69" s="141">
        <f>IF('Energy Data Input'!$B69="","",'Energy Data Input'!$B69)</f>
        <v/>
      </c>
      <c r="C69" s="102">
        <f>IF('Energy Data Input'!$C69="","",'Energy Data Input'!$C69)</f>
        <v/>
      </c>
      <c r="D69" s="102">
        <f>IF('Energy Data Input'!$D69="","",'Energy Data Input'!$D69)</f>
        <v/>
      </c>
      <c r="E69" s="102">
        <f>IF('Energy Data Input'!$E69="","",'Energy Data Input'!$E69)</f>
        <v/>
      </c>
      <c r="F69" s="102">
        <f>IF('Energy Data Input'!$G69="","",'Energy Data Input'!$G69)</f>
        <v/>
      </c>
      <c r="G69" s="102">
        <f>IF('Energy Data Input'!$H69="","",'Energy Data Input'!$H69)</f>
        <v/>
      </c>
      <c r="H69" s="102">
        <f>IF('Energy Data Input'!$J69="","",'Energy Data Input'!$J69)</f>
        <v/>
      </c>
      <c r="I69" s="142">
        <f>IF('Energy Data Input'!$N69="","",'Energy Data Input'!$N69)</f>
        <v/>
      </c>
      <c r="J69" s="142">
        <f>IF($B69="","",IFERROR(AVERAGEIFS('Energy Data Input'!$N$6:$N$205,'Energy Data Input'!$B$6:$B$205,"&gt;="&amp;$B69-7,'Energy Data Input'!$B$6:$B$205,"&lt;"&amp;$B69,'Energy Data Input'!$H$6:$H$205,$G69,'Energy Data Input'!$J$6:$J$205,$H69),$I69))</f>
        <v/>
      </c>
      <c r="K69" s="143">
        <f>IFERROR(($I69-$J69)/$J69,"")</f>
        <v/>
      </c>
      <c r="L69" s="102">
        <f>IF('Energy Data Input'!$V69="","",'Energy Data Input'!$V69)</f>
        <v/>
      </c>
      <c r="M69" s="102">
        <f>IF($H69="","",IFERROR(VLOOKUP($H69,'Base Settings'!$A$13:$K$19,5,FALSE),0.2))</f>
        <v/>
      </c>
      <c r="N69" s="102">
        <f>IF($B69="","",IF('Energy Data Input'!$L69="","Missing reading",IF($I69=0,"Stalled reading / possibly offline",IF($K69&gt;=IFERROR(VLOOKUP($H69,'Base Settings'!$A$13:$K$19,6,FALSE),0.5),"Severe spike",IF($K69&gt;=$M69,"Usage spike",IF($K69&lt;=-IFERROR(VLOOKUP($H69,'Base Settings'!$A$13:$K$19,7,FALSE),0.3),"Usage drop",IF($L69&gt;IFERROR(VLOOKUP($H69,'Base Settings'!$A$13:$K$19,8,FALSE),999999),"Area intensity overrun","Normal")))))))</f>
        <v/>
      </c>
      <c r="O69" s="102">
        <f>IF($N69="","",IF($N69="Normal","Normal",IF(OR($N69="Severe spike",$K69&gt;=IFERROR(VLOOKUP($H69,'Base Settings'!$A$13:$K$19,6,FALSE),0.5)),"Severe",IF(OR($N69="Usage spike",$N69="Usage drop"),"High","Medium"))))</f>
        <v/>
      </c>
      <c r="P69" s="144">
        <f>IF(OR($N69="",$N69="Normal"),0,ABS($I69-$J69)*'Energy Data Input'!$O69)</f>
        <v/>
      </c>
      <c r="Q69" s="102">
        <f>IF($N69="Normal","",IF($N69="Stalled reading / possibly offline","核查表计通信/Electricity池/网关/阀门Status",IF(AND($H69="Water",$N69&lt;&gt;"Normal"),"检查管网、阀门、卫生间、冷却塔及夜间最小流量",IF(AND($H69="Electricity",$N69&lt;&gt;"Normal"),"检查空调、照明、生产设备、PeakOff-peak时段与待机功耗",IF(AND($H69="Gas",$N69&lt;&gt;"Normal"),"检查燃Gas阀门、锅炉/厨房设备与泄漏风险","核查设备工况、排班、产量与计量数据")))))</f>
        <v/>
      </c>
      <c r="R69" s="102">
        <f>IF($H69="","",IFERROR(VLOOKUP($H69,'Base Settings'!$A$13:$K$19,11,FALSE),"Energy management owner"))</f>
        <v/>
      </c>
      <c r="S69" s="102">
        <f>IF($N69="","",IF($N69="Normal","No action needed","Open"))</f>
        <v/>
      </c>
      <c r="T69" s="141">
        <f>IF(OR($B69="",$N69="Normal"),"",WORKDAY($B69,IF($O69="Severe",1,IF($O69="High",2,3))))</f>
        <v/>
      </c>
      <c r="U69" s="102">
        <f>IF($T69="","",IF(AND($S69&lt;&gt;"Closed",TODAY()&gt;$T69),"Overdue","Not overdue"))</f>
        <v/>
      </c>
      <c r="V69" s="102" t="n"/>
      <c r="W69" s="141" t="n"/>
      <c r="X69" s="102" t="n"/>
    </row>
    <row r="70">
      <c r="A70" s="102">
        <f>IF('Energy Data Input'!$A70="","","AL-"&amp;TEXT(ROW()-5,"0000"))</f>
        <v/>
      </c>
      <c r="B70" s="141">
        <f>IF('Energy Data Input'!$B70="","",'Energy Data Input'!$B70)</f>
        <v/>
      </c>
      <c r="C70" s="102">
        <f>IF('Energy Data Input'!$C70="","",'Energy Data Input'!$C70)</f>
        <v/>
      </c>
      <c r="D70" s="102">
        <f>IF('Energy Data Input'!$D70="","",'Energy Data Input'!$D70)</f>
        <v/>
      </c>
      <c r="E70" s="102">
        <f>IF('Energy Data Input'!$E70="","",'Energy Data Input'!$E70)</f>
        <v/>
      </c>
      <c r="F70" s="102">
        <f>IF('Energy Data Input'!$G70="","",'Energy Data Input'!$G70)</f>
        <v/>
      </c>
      <c r="G70" s="102">
        <f>IF('Energy Data Input'!$H70="","",'Energy Data Input'!$H70)</f>
        <v/>
      </c>
      <c r="H70" s="102">
        <f>IF('Energy Data Input'!$J70="","",'Energy Data Input'!$J70)</f>
        <v/>
      </c>
      <c r="I70" s="142">
        <f>IF('Energy Data Input'!$N70="","",'Energy Data Input'!$N70)</f>
        <v/>
      </c>
      <c r="J70" s="142">
        <f>IF($B70="","",IFERROR(AVERAGEIFS('Energy Data Input'!$N$6:$N$205,'Energy Data Input'!$B$6:$B$205,"&gt;="&amp;$B70-7,'Energy Data Input'!$B$6:$B$205,"&lt;"&amp;$B70,'Energy Data Input'!$H$6:$H$205,$G70,'Energy Data Input'!$J$6:$J$205,$H70),$I70))</f>
        <v/>
      </c>
      <c r="K70" s="143">
        <f>IFERROR(($I70-$J70)/$J70,"")</f>
        <v/>
      </c>
      <c r="L70" s="102">
        <f>IF('Energy Data Input'!$V70="","",'Energy Data Input'!$V70)</f>
        <v/>
      </c>
      <c r="M70" s="102">
        <f>IF($H70="","",IFERROR(VLOOKUP($H70,'Base Settings'!$A$13:$K$19,5,FALSE),0.2))</f>
        <v/>
      </c>
      <c r="N70" s="102">
        <f>IF($B70="","",IF('Energy Data Input'!$L70="","Missing reading",IF($I70=0,"Stalled reading / possibly offline",IF($K70&gt;=IFERROR(VLOOKUP($H70,'Base Settings'!$A$13:$K$19,6,FALSE),0.5),"Severe spike",IF($K70&gt;=$M70,"Usage spike",IF($K70&lt;=-IFERROR(VLOOKUP($H70,'Base Settings'!$A$13:$K$19,7,FALSE),0.3),"Usage drop",IF($L70&gt;IFERROR(VLOOKUP($H70,'Base Settings'!$A$13:$K$19,8,FALSE),999999),"Area intensity overrun","Normal")))))))</f>
        <v/>
      </c>
      <c r="O70" s="102">
        <f>IF($N70="","",IF($N70="Normal","Normal",IF(OR($N70="Severe spike",$K70&gt;=IFERROR(VLOOKUP($H70,'Base Settings'!$A$13:$K$19,6,FALSE),0.5)),"Severe",IF(OR($N70="Usage spike",$N70="Usage drop"),"High","Medium"))))</f>
        <v/>
      </c>
      <c r="P70" s="144">
        <f>IF(OR($N70="",$N70="Normal"),0,ABS($I70-$J70)*'Energy Data Input'!$O70)</f>
        <v/>
      </c>
      <c r="Q70" s="102">
        <f>IF($N70="Normal","",IF($N70="Stalled reading / possibly offline","核查表计通信/Electricity池/网关/阀门Status",IF(AND($H70="Water",$N70&lt;&gt;"Normal"),"检查管网、阀门、卫生间、冷却塔及夜间最小流量",IF(AND($H70="Electricity",$N70&lt;&gt;"Normal"),"检查空调、照明、生产设备、PeakOff-peak时段与待机功耗",IF(AND($H70="Gas",$N70&lt;&gt;"Normal"),"检查燃Gas阀门、锅炉/厨房设备与泄漏风险","核查设备工况、排班、产量与计量数据")))))</f>
        <v/>
      </c>
      <c r="R70" s="102">
        <f>IF($H70="","",IFERROR(VLOOKUP($H70,'Base Settings'!$A$13:$K$19,11,FALSE),"Energy management owner"))</f>
        <v/>
      </c>
      <c r="S70" s="102">
        <f>IF($N70="","",IF($N70="Normal","No action needed","Open"))</f>
        <v/>
      </c>
      <c r="T70" s="141">
        <f>IF(OR($B70="",$N70="Normal"),"",WORKDAY($B70,IF($O70="Severe",1,IF($O70="High",2,3))))</f>
        <v/>
      </c>
      <c r="U70" s="102">
        <f>IF($T70="","",IF(AND($S70&lt;&gt;"Closed",TODAY()&gt;$T70),"Overdue","Not overdue"))</f>
        <v/>
      </c>
      <c r="V70" s="102" t="n"/>
      <c r="W70" s="141" t="n"/>
      <c r="X70" s="102" t="n"/>
    </row>
    <row r="71">
      <c r="A71" s="102">
        <f>IF('Energy Data Input'!$A71="","","AL-"&amp;TEXT(ROW()-5,"0000"))</f>
        <v/>
      </c>
      <c r="B71" s="141">
        <f>IF('Energy Data Input'!$B71="","",'Energy Data Input'!$B71)</f>
        <v/>
      </c>
      <c r="C71" s="102">
        <f>IF('Energy Data Input'!$C71="","",'Energy Data Input'!$C71)</f>
        <v/>
      </c>
      <c r="D71" s="102">
        <f>IF('Energy Data Input'!$D71="","",'Energy Data Input'!$D71)</f>
        <v/>
      </c>
      <c r="E71" s="102">
        <f>IF('Energy Data Input'!$E71="","",'Energy Data Input'!$E71)</f>
        <v/>
      </c>
      <c r="F71" s="102">
        <f>IF('Energy Data Input'!$G71="","",'Energy Data Input'!$G71)</f>
        <v/>
      </c>
      <c r="G71" s="102">
        <f>IF('Energy Data Input'!$H71="","",'Energy Data Input'!$H71)</f>
        <v/>
      </c>
      <c r="H71" s="102">
        <f>IF('Energy Data Input'!$J71="","",'Energy Data Input'!$J71)</f>
        <v/>
      </c>
      <c r="I71" s="142">
        <f>IF('Energy Data Input'!$N71="","",'Energy Data Input'!$N71)</f>
        <v/>
      </c>
      <c r="J71" s="142">
        <f>IF($B71="","",IFERROR(AVERAGEIFS('Energy Data Input'!$N$6:$N$205,'Energy Data Input'!$B$6:$B$205,"&gt;="&amp;$B71-7,'Energy Data Input'!$B$6:$B$205,"&lt;"&amp;$B71,'Energy Data Input'!$H$6:$H$205,$G71,'Energy Data Input'!$J$6:$J$205,$H71),$I71))</f>
        <v/>
      </c>
      <c r="K71" s="143">
        <f>IFERROR(($I71-$J71)/$J71,"")</f>
        <v/>
      </c>
      <c r="L71" s="102">
        <f>IF('Energy Data Input'!$V71="","",'Energy Data Input'!$V71)</f>
        <v/>
      </c>
      <c r="M71" s="102">
        <f>IF($H71="","",IFERROR(VLOOKUP($H71,'Base Settings'!$A$13:$K$19,5,FALSE),0.2))</f>
        <v/>
      </c>
      <c r="N71" s="102">
        <f>IF($B71="","",IF('Energy Data Input'!$L71="","Missing reading",IF($I71=0,"Stalled reading / possibly offline",IF($K71&gt;=IFERROR(VLOOKUP($H71,'Base Settings'!$A$13:$K$19,6,FALSE),0.5),"Severe spike",IF($K71&gt;=$M71,"Usage spike",IF($K71&lt;=-IFERROR(VLOOKUP($H71,'Base Settings'!$A$13:$K$19,7,FALSE),0.3),"Usage drop",IF($L71&gt;IFERROR(VLOOKUP($H71,'Base Settings'!$A$13:$K$19,8,FALSE),999999),"Area intensity overrun","Normal")))))))</f>
        <v/>
      </c>
      <c r="O71" s="102">
        <f>IF($N71="","",IF($N71="Normal","Normal",IF(OR($N71="Severe spike",$K71&gt;=IFERROR(VLOOKUP($H71,'Base Settings'!$A$13:$K$19,6,FALSE),0.5)),"Severe",IF(OR($N71="Usage spike",$N71="Usage drop"),"High","Medium"))))</f>
        <v/>
      </c>
      <c r="P71" s="144">
        <f>IF(OR($N71="",$N71="Normal"),0,ABS($I71-$J71)*'Energy Data Input'!$O71)</f>
        <v/>
      </c>
      <c r="Q71" s="102">
        <f>IF($N71="Normal","",IF($N71="Stalled reading / possibly offline","核查表计通信/Electricity池/网关/阀门Status",IF(AND($H71="Water",$N71&lt;&gt;"Normal"),"检查管网、阀门、卫生间、冷却塔及夜间最小流量",IF(AND($H71="Electricity",$N71&lt;&gt;"Normal"),"检查空调、照明、生产设备、PeakOff-peak时段与待机功耗",IF(AND($H71="Gas",$N71&lt;&gt;"Normal"),"检查燃Gas阀门、锅炉/厨房设备与泄漏风险","核查设备工况、排班、产量与计量数据")))))</f>
        <v/>
      </c>
      <c r="R71" s="102">
        <f>IF($H71="","",IFERROR(VLOOKUP($H71,'Base Settings'!$A$13:$K$19,11,FALSE),"Energy management owner"))</f>
        <v/>
      </c>
      <c r="S71" s="102">
        <f>IF($N71="","",IF($N71="Normal","No action needed","Open"))</f>
        <v/>
      </c>
      <c r="T71" s="141">
        <f>IF(OR($B71="",$N71="Normal"),"",WORKDAY($B71,IF($O71="Severe",1,IF($O71="High",2,3))))</f>
        <v/>
      </c>
      <c r="U71" s="102">
        <f>IF($T71="","",IF(AND($S71&lt;&gt;"Closed",TODAY()&gt;$T71),"Overdue","Not overdue"))</f>
        <v/>
      </c>
      <c r="V71" s="102" t="n"/>
      <c r="W71" s="141" t="n"/>
      <c r="X71" s="102" t="n"/>
    </row>
    <row r="72">
      <c r="A72" s="102">
        <f>IF('Energy Data Input'!$A72="","","AL-"&amp;TEXT(ROW()-5,"0000"))</f>
        <v/>
      </c>
      <c r="B72" s="141">
        <f>IF('Energy Data Input'!$B72="","",'Energy Data Input'!$B72)</f>
        <v/>
      </c>
      <c r="C72" s="102">
        <f>IF('Energy Data Input'!$C72="","",'Energy Data Input'!$C72)</f>
        <v/>
      </c>
      <c r="D72" s="102">
        <f>IF('Energy Data Input'!$D72="","",'Energy Data Input'!$D72)</f>
        <v/>
      </c>
      <c r="E72" s="102">
        <f>IF('Energy Data Input'!$E72="","",'Energy Data Input'!$E72)</f>
        <v/>
      </c>
      <c r="F72" s="102">
        <f>IF('Energy Data Input'!$G72="","",'Energy Data Input'!$G72)</f>
        <v/>
      </c>
      <c r="G72" s="102">
        <f>IF('Energy Data Input'!$H72="","",'Energy Data Input'!$H72)</f>
        <v/>
      </c>
      <c r="H72" s="102">
        <f>IF('Energy Data Input'!$J72="","",'Energy Data Input'!$J72)</f>
        <v/>
      </c>
      <c r="I72" s="142">
        <f>IF('Energy Data Input'!$N72="","",'Energy Data Input'!$N72)</f>
        <v/>
      </c>
      <c r="J72" s="142">
        <f>IF($B72="","",IFERROR(AVERAGEIFS('Energy Data Input'!$N$6:$N$205,'Energy Data Input'!$B$6:$B$205,"&gt;="&amp;$B72-7,'Energy Data Input'!$B$6:$B$205,"&lt;"&amp;$B72,'Energy Data Input'!$H$6:$H$205,$G72,'Energy Data Input'!$J$6:$J$205,$H72),$I72))</f>
        <v/>
      </c>
      <c r="K72" s="143">
        <f>IFERROR(($I72-$J72)/$J72,"")</f>
        <v/>
      </c>
      <c r="L72" s="102">
        <f>IF('Energy Data Input'!$V72="","",'Energy Data Input'!$V72)</f>
        <v/>
      </c>
      <c r="M72" s="102">
        <f>IF($H72="","",IFERROR(VLOOKUP($H72,'Base Settings'!$A$13:$K$19,5,FALSE),0.2))</f>
        <v/>
      </c>
      <c r="N72" s="102">
        <f>IF($B72="","",IF('Energy Data Input'!$L72="","Missing reading",IF($I72=0,"Stalled reading / possibly offline",IF($K72&gt;=IFERROR(VLOOKUP($H72,'Base Settings'!$A$13:$K$19,6,FALSE),0.5),"Severe spike",IF($K72&gt;=$M72,"Usage spike",IF($K72&lt;=-IFERROR(VLOOKUP($H72,'Base Settings'!$A$13:$K$19,7,FALSE),0.3),"Usage drop",IF($L72&gt;IFERROR(VLOOKUP($H72,'Base Settings'!$A$13:$K$19,8,FALSE),999999),"Area intensity overrun","Normal")))))))</f>
        <v/>
      </c>
      <c r="O72" s="102">
        <f>IF($N72="","",IF($N72="Normal","Normal",IF(OR($N72="Severe spike",$K72&gt;=IFERROR(VLOOKUP($H72,'Base Settings'!$A$13:$K$19,6,FALSE),0.5)),"Severe",IF(OR($N72="Usage spike",$N72="Usage drop"),"High","Medium"))))</f>
        <v/>
      </c>
      <c r="P72" s="144">
        <f>IF(OR($N72="",$N72="Normal"),0,ABS($I72-$J72)*'Energy Data Input'!$O72)</f>
        <v/>
      </c>
      <c r="Q72" s="102">
        <f>IF($N72="Normal","",IF($N72="Stalled reading / possibly offline","核查表计通信/Electricity池/网关/阀门Status",IF(AND($H72="Water",$N72&lt;&gt;"Normal"),"检查管网、阀门、卫生间、冷却塔及夜间最小流量",IF(AND($H72="Electricity",$N72&lt;&gt;"Normal"),"检查空调、照明、生产设备、PeakOff-peak时段与待机功耗",IF(AND($H72="Gas",$N72&lt;&gt;"Normal"),"检查燃Gas阀门、锅炉/厨房设备与泄漏风险","核查设备工况、排班、产量与计量数据")))))</f>
        <v/>
      </c>
      <c r="R72" s="102">
        <f>IF($H72="","",IFERROR(VLOOKUP($H72,'Base Settings'!$A$13:$K$19,11,FALSE),"Energy management owner"))</f>
        <v/>
      </c>
      <c r="S72" s="102">
        <f>IF($N72="","",IF($N72="Normal","No action needed","Open"))</f>
        <v/>
      </c>
      <c r="T72" s="141">
        <f>IF(OR($B72="",$N72="Normal"),"",WORKDAY($B72,IF($O72="Severe",1,IF($O72="High",2,3))))</f>
        <v/>
      </c>
      <c r="U72" s="102">
        <f>IF($T72="","",IF(AND($S72&lt;&gt;"Closed",TODAY()&gt;$T72),"Overdue","Not overdue"))</f>
        <v/>
      </c>
      <c r="V72" s="102" t="n"/>
      <c r="W72" s="141" t="n"/>
      <c r="X72" s="102" t="n"/>
    </row>
    <row r="73">
      <c r="A73" s="102">
        <f>IF('Energy Data Input'!$A73="","","AL-"&amp;TEXT(ROW()-5,"0000"))</f>
        <v/>
      </c>
      <c r="B73" s="141">
        <f>IF('Energy Data Input'!$B73="","",'Energy Data Input'!$B73)</f>
        <v/>
      </c>
      <c r="C73" s="102">
        <f>IF('Energy Data Input'!$C73="","",'Energy Data Input'!$C73)</f>
        <v/>
      </c>
      <c r="D73" s="102">
        <f>IF('Energy Data Input'!$D73="","",'Energy Data Input'!$D73)</f>
        <v/>
      </c>
      <c r="E73" s="102">
        <f>IF('Energy Data Input'!$E73="","",'Energy Data Input'!$E73)</f>
        <v/>
      </c>
      <c r="F73" s="102">
        <f>IF('Energy Data Input'!$G73="","",'Energy Data Input'!$G73)</f>
        <v/>
      </c>
      <c r="G73" s="102">
        <f>IF('Energy Data Input'!$H73="","",'Energy Data Input'!$H73)</f>
        <v/>
      </c>
      <c r="H73" s="102">
        <f>IF('Energy Data Input'!$J73="","",'Energy Data Input'!$J73)</f>
        <v/>
      </c>
      <c r="I73" s="142">
        <f>IF('Energy Data Input'!$N73="","",'Energy Data Input'!$N73)</f>
        <v/>
      </c>
      <c r="J73" s="142">
        <f>IF($B73="","",IFERROR(AVERAGEIFS('Energy Data Input'!$N$6:$N$205,'Energy Data Input'!$B$6:$B$205,"&gt;="&amp;$B73-7,'Energy Data Input'!$B$6:$B$205,"&lt;"&amp;$B73,'Energy Data Input'!$H$6:$H$205,$G73,'Energy Data Input'!$J$6:$J$205,$H73),$I73))</f>
        <v/>
      </c>
      <c r="K73" s="143">
        <f>IFERROR(($I73-$J73)/$J73,"")</f>
        <v/>
      </c>
      <c r="L73" s="102">
        <f>IF('Energy Data Input'!$V73="","",'Energy Data Input'!$V73)</f>
        <v/>
      </c>
      <c r="M73" s="102">
        <f>IF($H73="","",IFERROR(VLOOKUP($H73,'Base Settings'!$A$13:$K$19,5,FALSE),0.2))</f>
        <v/>
      </c>
      <c r="N73" s="102">
        <f>IF($B73="","",IF('Energy Data Input'!$L73="","Missing reading",IF($I73=0,"Stalled reading / possibly offline",IF($K73&gt;=IFERROR(VLOOKUP($H73,'Base Settings'!$A$13:$K$19,6,FALSE),0.5),"Severe spike",IF($K73&gt;=$M73,"Usage spike",IF($K73&lt;=-IFERROR(VLOOKUP($H73,'Base Settings'!$A$13:$K$19,7,FALSE),0.3),"Usage drop",IF($L73&gt;IFERROR(VLOOKUP($H73,'Base Settings'!$A$13:$K$19,8,FALSE),999999),"Area intensity overrun","Normal")))))))</f>
        <v/>
      </c>
      <c r="O73" s="102">
        <f>IF($N73="","",IF($N73="Normal","Normal",IF(OR($N73="Severe spike",$K73&gt;=IFERROR(VLOOKUP($H73,'Base Settings'!$A$13:$K$19,6,FALSE),0.5)),"Severe",IF(OR($N73="Usage spike",$N73="Usage drop"),"High","Medium"))))</f>
        <v/>
      </c>
      <c r="P73" s="144">
        <f>IF(OR($N73="",$N73="Normal"),0,ABS($I73-$J73)*'Energy Data Input'!$O73)</f>
        <v/>
      </c>
      <c r="Q73" s="102">
        <f>IF($N73="Normal","",IF($N73="Stalled reading / possibly offline","核查表计通信/Electricity池/网关/阀门Status",IF(AND($H73="Water",$N73&lt;&gt;"Normal"),"检查管网、阀门、卫生间、冷却塔及夜间最小流量",IF(AND($H73="Electricity",$N73&lt;&gt;"Normal"),"检查空调、照明、生产设备、PeakOff-peak时段与待机功耗",IF(AND($H73="Gas",$N73&lt;&gt;"Normal"),"检查燃Gas阀门、锅炉/厨房设备与泄漏风险","核查设备工况、排班、产量与计量数据")))))</f>
        <v/>
      </c>
      <c r="R73" s="102">
        <f>IF($H73="","",IFERROR(VLOOKUP($H73,'Base Settings'!$A$13:$K$19,11,FALSE),"Energy management owner"))</f>
        <v/>
      </c>
      <c r="S73" s="102">
        <f>IF($N73="","",IF($N73="Normal","No action needed","Open"))</f>
        <v/>
      </c>
      <c r="T73" s="141">
        <f>IF(OR($B73="",$N73="Normal"),"",WORKDAY($B73,IF($O73="Severe",1,IF($O73="High",2,3))))</f>
        <v/>
      </c>
      <c r="U73" s="102">
        <f>IF($T73="","",IF(AND($S73&lt;&gt;"Closed",TODAY()&gt;$T73),"Overdue","Not overdue"))</f>
        <v/>
      </c>
      <c r="V73" s="102" t="n"/>
      <c r="W73" s="141" t="n"/>
      <c r="X73" s="102" t="n"/>
    </row>
    <row r="74">
      <c r="A74" s="102">
        <f>IF('Energy Data Input'!$A74="","","AL-"&amp;TEXT(ROW()-5,"0000"))</f>
        <v/>
      </c>
      <c r="B74" s="141">
        <f>IF('Energy Data Input'!$B74="","",'Energy Data Input'!$B74)</f>
        <v/>
      </c>
      <c r="C74" s="102">
        <f>IF('Energy Data Input'!$C74="","",'Energy Data Input'!$C74)</f>
        <v/>
      </c>
      <c r="D74" s="102">
        <f>IF('Energy Data Input'!$D74="","",'Energy Data Input'!$D74)</f>
        <v/>
      </c>
      <c r="E74" s="102">
        <f>IF('Energy Data Input'!$E74="","",'Energy Data Input'!$E74)</f>
        <v/>
      </c>
      <c r="F74" s="102">
        <f>IF('Energy Data Input'!$G74="","",'Energy Data Input'!$G74)</f>
        <v/>
      </c>
      <c r="G74" s="102">
        <f>IF('Energy Data Input'!$H74="","",'Energy Data Input'!$H74)</f>
        <v/>
      </c>
      <c r="H74" s="102">
        <f>IF('Energy Data Input'!$J74="","",'Energy Data Input'!$J74)</f>
        <v/>
      </c>
      <c r="I74" s="142">
        <f>IF('Energy Data Input'!$N74="","",'Energy Data Input'!$N74)</f>
        <v/>
      </c>
      <c r="J74" s="142">
        <f>IF($B74="","",IFERROR(AVERAGEIFS('Energy Data Input'!$N$6:$N$205,'Energy Data Input'!$B$6:$B$205,"&gt;="&amp;$B74-7,'Energy Data Input'!$B$6:$B$205,"&lt;"&amp;$B74,'Energy Data Input'!$H$6:$H$205,$G74,'Energy Data Input'!$J$6:$J$205,$H74),$I74))</f>
        <v/>
      </c>
      <c r="K74" s="143">
        <f>IFERROR(($I74-$J74)/$J74,"")</f>
        <v/>
      </c>
      <c r="L74" s="102">
        <f>IF('Energy Data Input'!$V74="","",'Energy Data Input'!$V74)</f>
        <v/>
      </c>
      <c r="M74" s="102">
        <f>IF($H74="","",IFERROR(VLOOKUP($H74,'Base Settings'!$A$13:$K$19,5,FALSE),0.2))</f>
        <v/>
      </c>
      <c r="N74" s="102">
        <f>IF($B74="","",IF('Energy Data Input'!$L74="","Missing reading",IF($I74=0,"Stalled reading / possibly offline",IF($K74&gt;=IFERROR(VLOOKUP($H74,'Base Settings'!$A$13:$K$19,6,FALSE),0.5),"Severe spike",IF($K74&gt;=$M74,"Usage spike",IF($K74&lt;=-IFERROR(VLOOKUP($H74,'Base Settings'!$A$13:$K$19,7,FALSE),0.3),"Usage drop",IF($L74&gt;IFERROR(VLOOKUP($H74,'Base Settings'!$A$13:$K$19,8,FALSE),999999),"Area intensity overrun","Normal")))))))</f>
        <v/>
      </c>
      <c r="O74" s="102">
        <f>IF($N74="","",IF($N74="Normal","Normal",IF(OR($N74="Severe spike",$K74&gt;=IFERROR(VLOOKUP($H74,'Base Settings'!$A$13:$K$19,6,FALSE),0.5)),"Severe",IF(OR($N74="Usage spike",$N74="Usage drop"),"High","Medium"))))</f>
        <v/>
      </c>
      <c r="P74" s="144">
        <f>IF(OR($N74="",$N74="Normal"),0,ABS($I74-$J74)*'Energy Data Input'!$O74)</f>
        <v/>
      </c>
      <c r="Q74" s="102">
        <f>IF($N74="Normal","",IF($N74="Stalled reading / possibly offline","核查表计通信/Electricity池/网关/阀门Status",IF(AND($H74="Water",$N74&lt;&gt;"Normal"),"检查管网、阀门、卫生间、冷却塔及夜间最小流量",IF(AND($H74="Electricity",$N74&lt;&gt;"Normal"),"检查空调、照明、生产设备、PeakOff-peak时段与待机功耗",IF(AND($H74="Gas",$N74&lt;&gt;"Normal"),"检查燃Gas阀门、锅炉/厨房设备与泄漏风险","核查设备工况、排班、产量与计量数据")))))</f>
        <v/>
      </c>
      <c r="R74" s="102">
        <f>IF($H74="","",IFERROR(VLOOKUP($H74,'Base Settings'!$A$13:$K$19,11,FALSE),"Energy management owner"))</f>
        <v/>
      </c>
      <c r="S74" s="102">
        <f>IF($N74="","",IF($N74="Normal","No action needed","Open"))</f>
        <v/>
      </c>
      <c r="T74" s="141">
        <f>IF(OR($B74="",$N74="Normal"),"",WORKDAY($B74,IF($O74="Severe",1,IF($O74="High",2,3))))</f>
        <v/>
      </c>
      <c r="U74" s="102">
        <f>IF($T74="","",IF(AND($S74&lt;&gt;"Closed",TODAY()&gt;$T74),"Overdue","Not overdue"))</f>
        <v/>
      </c>
      <c r="V74" s="102" t="n"/>
      <c r="W74" s="141" t="n"/>
      <c r="X74" s="102" t="n"/>
    </row>
    <row r="75">
      <c r="A75" s="102">
        <f>IF('Energy Data Input'!$A75="","","AL-"&amp;TEXT(ROW()-5,"0000"))</f>
        <v/>
      </c>
      <c r="B75" s="141">
        <f>IF('Energy Data Input'!$B75="","",'Energy Data Input'!$B75)</f>
        <v/>
      </c>
      <c r="C75" s="102">
        <f>IF('Energy Data Input'!$C75="","",'Energy Data Input'!$C75)</f>
        <v/>
      </c>
      <c r="D75" s="102">
        <f>IF('Energy Data Input'!$D75="","",'Energy Data Input'!$D75)</f>
        <v/>
      </c>
      <c r="E75" s="102">
        <f>IF('Energy Data Input'!$E75="","",'Energy Data Input'!$E75)</f>
        <v/>
      </c>
      <c r="F75" s="102">
        <f>IF('Energy Data Input'!$G75="","",'Energy Data Input'!$G75)</f>
        <v/>
      </c>
      <c r="G75" s="102">
        <f>IF('Energy Data Input'!$H75="","",'Energy Data Input'!$H75)</f>
        <v/>
      </c>
      <c r="H75" s="102">
        <f>IF('Energy Data Input'!$J75="","",'Energy Data Input'!$J75)</f>
        <v/>
      </c>
      <c r="I75" s="142">
        <f>IF('Energy Data Input'!$N75="","",'Energy Data Input'!$N75)</f>
        <v/>
      </c>
      <c r="J75" s="142">
        <f>IF($B75="","",IFERROR(AVERAGEIFS('Energy Data Input'!$N$6:$N$205,'Energy Data Input'!$B$6:$B$205,"&gt;="&amp;$B75-7,'Energy Data Input'!$B$6:$B$205,"&lt;"&amp;$B75,'Energy Data Input'!$H$6:$H$205,$G75,'Energy Data Input'!$J$6:$J$205,$H75),$I75))</f>
        <v/>
      </c>
      <c r="K75" s="143">
        <f>IFERROR(($I75-$J75)/$J75,"")</f>
        <v/>
      </c>
      <c r="L75" s="102">
        <f>IF('Energy Data Input'!$V75="","",'Energy Data Input'!$V75)</f>
        <v/>
      </c>
      <c r="M75" s="102">
        <f>IF($H75="","",IFERROR(VLOOKUP($H75,'Base Settings'!$A$13:$K$19,5,FALSE),0.2))</f>
        <v/>
      </c>
      <c r="N75" s="102">
        <f>IF($B75="","",IF('Energy Data Input'!$L75="","Missing reading",IF($I75=0,"Stalled reading / possibly offline",IF($K75&gt;=IFERROR(VLOOKUP($H75,'Base Settings'!$A$13:$K$19,6,FALSE),0.5),"Severe spike",IF($K75&gt;=$M75,"Usage spike",IF($K75&lt;=-IFERROR(VLOOKUP($H75,'Base Settings'!$A$13:$K$19,7,FALSE),0.3),"Usage drop",IF($L75&gt;IFERROR(VLOOKUP($H75,'Base Settings'!$A$13:$K$19,8,FALSE),999999),"Area intensity overrun","Normal")))))))</f>
        <v/>
      </c>
      <c r="O75" s="102">
        <f>IF($N75="","",IF($N75="Normal","Normal",IF(OR($N75="Severe spike",$K75&gt;=IFERROR(VLOOKUP($H75,'Base Settings'!$A$13:$K$19,6,FALSE),0.5)),"Severe",IF(OR($N75="Usage spike",$N75="Usage drop"),"High","Medium"))))</f>
        <v/>
      </c>
      <c r="P75" s="144">
        <f>IF(OR($N75="",$N75="Normal"),0,ABS($I75-$J75)*'Energy Data Input'!$O75)</f>
        <v/>
      </c>
      <c r="Q75" s="102">
        <f>IF($N75="Normal","",IF($N75="Stalled reading / possibly offline","核查表计通信/Electricity池/网关/阀门Status",IF(AND($H75="Water",$N75&lt;&gt;"Normal"),"检查管网、阀门、卫生间、冷却塔及夜间最小流量",IF(AND($H75="Electricity",$N75&lt;&gt;"Normal"),"检查空调、照明、生产设备、PeakOff-peak时段与待机功耗",IF(AND($H75="Gas",$N75&lt;&gt;"Normal"),"检查燃Gas阀门、锅炉/厨房设备与泄漏风险","核查设备工况、排班、产量与计量数据")))))</f>
        <v/>
      </c>
      <c r="R75" s="102">
        <f>IF($H75="","",IFERROR(VLOOKUP($H75,'Base Settings'!$A$13:$K$19,11,FALSE),"Energy management owner"))</f>
        <v/>
      </c>
      <c r="S75" s="102">
        <f>IF($N75="","",IF($N75="Normal","No action needed","Open"))</f>
        <v/>
      </c>
      <c r="T75" s="141">
        <f>IF(OR($B75="",$N75="Normal"),"",WORKDAY($B75,IF($O75="Severe",1,IF($O75="High",2,3))))</f>
        <v/>
      </c>
      <c r="U75" s="102">
        <f>IF($T75="","",IF(AND($S75&lt;&gt;"Closed",TODAY()&gt;$T75),"Overdue","Not overdue"))</f>
        <v/>
      </c>
      <c r="V75" s="102" t="n"/>
      <c r="W75" s="141" t="n"/>
      <c r="X75" s="102" t="n"/>
    </row>
    <row r="76">
      <c r="A76" s="102">
        <f>IF('Energy Data Input'!$A76="","","AL-"&amp;TEXT(ROW()-5,"0000"))</f>
        <v/>
      </c>
      <c r="B76" s="141">
        <f>IF('Energy Data Input'!$B76="","",'Energy Data Input'!$B76)</f>
        <v/>
      </c>
      <c r="C76" s="102">
        <f>IF('Energy Data Input'!$C76="","",'Energy Data Input'!$C76)</f>
        <v/>
      </c>
      <c r="D76" s="102">
        <f>IF('Energy Data Input'!$D76="","",'Energy Data Input'!$D76)</f>
        <v/>
      </c>
      <c r="E76" s="102">
        <f>IF('Energy Data Input'!$E76="","",'Energy Data Input'!$E76)</f>
        <v/>
      </c>
      <c r="F76" s="102">
        <f>IF('Energy Data Input'!$G76="","",'Energy Data Input'!$G76)</f>
        <v/>
      </c>
      <c r="G76" s="102">
        <f>IF('Energy Data Input'!$H76="","",'Energy Data Input'!$H76)</f>
        <v/>
      </c>
      <c r="H76" s="102">
        <f>IF('Energy Data Input'!$J76="","",'Energy Data Input'!$J76)</f>
        <v/>
      </c>
      <c r="I76" s="142">
        <f>IF('Energy Data Input'!$N76="","",'Energy Data Input'!$N76)</f>
        <v/>
      </c>
      <c r="J76" s="142">
        <f>IF($B76="","",IFERROR(AVERAGEIFS('Energy Data Input'!$N$6:$N$205,'Energy Data Input'!$B$6:$B$205,"&gt;="&amp;$B76-7,'Energy Data Input'!$B$6:$B$205,"&lt;"&amp;$B76,'Energy Data Input'!$H$6:$H$205,$G76,'Energy Data Input'!$J$6:$J$205,$H76),$I76))</f>
        <v/>
      </c>
      <c r="K76" s="143">
        <f>IFERROR(($I76-$J76)/$J76,"")</f>
        <v/>
      </c>
      <c r="L76" s="102">
        <f>IF('Energy Data Input'!$V76="","",'Energy Data Input'!$V76)</f>
        <v/>
      </c>
      <c r="M76" s="102">
        <f>IF($H76="","",IFERROR(VLOOKUP($H76,'Base Settings'!$A$13:$K$19,5,FALSE),0.2))</f>
        <v/>
      </c>
      <c r="N76" s="102">
        <f>IF($B76="","",IF('Energy Data Input'!$L76="","Missing reading",IF($I76=0,"Stalled reading / possibly offline",IF($K76&gt;=IFERROR(VLOOKUP($H76,'Base Settings'!$A$13:$K$19,6,FALSE),0.5),"Severe spike",IF($K76&gt;=$M76,"Usage spike",IF($K76&lt;=-IFERROR(VLOOKUP($H76,'Base Settings'!$A$13:$K$19,7,FALSE),0.3),"Usage drop",IF($L76&gt;IFERROR(VLOOKUP($H76,'Base Settings'!$A$13:$K$19,8,FALSE),999999),"Area intensity overrun","Normal")))))))</f>
        <v/>
      </c>
      <c r="O76" s="102">
        <f>IF($N76="","",IF($N76="Normal","Normal",IF(OR($N76="Severe spike",$K76&gt;=IFERROR(VLOOKUP($H76,'Base Settings'!$A$13:$K$19,6,FALSE),0.5)),"Severe",IF(OR($N76="Usage spike",$N76="Usage drop"),"High","Medium"))))</f>
        <v/>
      </c>
      <c r="P76" s="144">
        <f>IF(OR($N76="",$N76="Normal"),0,ABS($I76-$J76)*'Energy Data Input'!$O76)</f>
        <v/>
      </c>
      <c r="Q76" s="102">
        <f>IF($N76="Normal","",IF($N76="Stalled reading / possibly offline","核查表计通信/Electricity池/网关/阀门Status",IF(AND($H76="Water",$N76&lt;&gt;"Normal"),"检查管网、阀门、卫生间、冷却塔及夜间最小流量",IF(AND($H76="Electricity",$N76&lt;&gt;"Normal"),"检查空调、照明、生产设备、PeakOff-peak时段与待机功耗",IF(AND($H76="Gas",$N76&lt;&gt;"Normal"),"检查燃Gas阀门、锅炉/厨房设备与泄漏风险","核查设备工况、排班、产量与计量数据")))))</f>
        <v/>
      </c>
      <c r="R76" s="102">
        <f>IF($H76="","",IFERROR(VLOOKUP($H76,'Base Settings'!$A$13:$K$19,11,FALSE),"Energy management owner"))</f>
        <v/>
      </c>
      <c r="S76" s="102">
        <f>IF($N76="","",IF($N76="Normal","No action needed","Open"))</f>
        <v/>
      </c>
      <c r="T76" s="141">
        <f>IF(OR($B76="",$N76="Normal"),"",WORKDAY($B76,IF($O76="Severe",1,IF($O76="High",2,3))))</f>
        <v/>
      </c>
      <c r="U76" s="102">
        <f>IF($T76="","",IF(AND($S76&lt;&gt;"Closed",TODAY()&gt;$T76),"Overdue","Not overdue"))</f>
        <v/>
      </c>
      <c r="V76" s="102" t="n"/>
      <c r="W76" s="141" t="n"/>
      <c r="X76" s="102" t="n"/>
    </row>
    <row r="77">
      <c r="A77" s="102">
        <f>IF('Energy Data Input'!$A77="","","AL-"&amp;TEXT(ROW()-5,"0000"))</f>
        <v/>
      </c>
      <c r="B77" s="141">
        <f>IF('Energy Data Input'!$B77="","",'Energy Data Input'!$B77)</f>
        <v/>
      </c>
      <c r="C77" s="102">
        <f>IF('Energy Data Input'!$C77="","",'Energy Data Input'!$C77)</f>
        <v/>
      </c>
      <c r="D77" s="102">
        <f>IF('Energy Data Input'!$D77="","",'Energy Data Input'!$D77)</f>
        <v/>
      </c>
      <c r="E77" s="102">
        <f>IF('Energy Data Input'!$E77="","",'Energy Data Input'!$E77)</f>
        <v/>
      </c>
      <c r="F77" s="102">
        <f>IF('Energy Data Input'!$G77="","",'Energy Data Input'!$G77)</f>
        <v/>
      </c>
      <c r="G77" s="102">
        <f>IF('Energy Data Input'!$H77="","",'Energy Data Input'!$H77)</f>
        <v/>
      </c>
      <c r="H77" s="102">
        <f>IF('Energy Data Input'!$J77="","",'Energy Data Input'!$J77)</f>
        <v/>
      </c>
      <c r="I77" s="142">
        <f>IF('Energy Data Input'!$N77="","",'Energy Data Input'!$N77)</f>
        <v/>
      </c>
      <c r="J77" s="142">
        <f>IF($B77="","",IFERROR(AVERAGEIFS('Energy Data Input'!$N$6:$N$205,'Energy Data Input'!$B$6:$B$205,"&gt;="&amp;$B77-7,'Energy Data Input'!$B$6:$B$205,"&lt;"&amp;$B77,'Energy Data Input'!$H$6:$H$205,$G77,'Energy Data Input'!$J$6:$J$205,$H77),$I77))</f>
        <v/>
      </c>
      <c r="K77" s="143">
        <f>IFERROR(($I77-$J77)/$J77,"")</f>
        <v/>
      </c>
      <c r="L77" s="102">
        <f>IF('Energy Data Input'!$V77="","",'Energy Data Input'!$V77)</f>
        <v/>
      </c>
      <c r="M77" s="102">
        <f>IF($H77="","",IFERROR(VLOOKUP($H77,'Base Settings'!$A$13:$K$19,5,FALSE),0.2))</f>
        <v/>
      </c>
      <c r="N77" s="102">
        <f>IF($B77="","",IF('Energy Data Input'!$L77="","Missing reading",IF($I77=0,"Stalled reading / possibly offline",IF($K77&gt;=IFERROR(VLOOKUP($H77,'Base Settings'!$A$13:$K$19,6,FALSE),0.5),"Severe spike",IF($K77&gt;=$M77,"Usage spike",IF($K77&lt;=-IFERROR(VLOOKUP($H77,'Base Settings'!$A$13:$K$19,7,FALSE),0.3),"Usage drop",IF($L77&gt;IFERROR(VLOOKUP($H77,'Base Settings'!$A$13:$K$19,8,FALSE),999999),"Area intensity overrun","Normal")))))))</f>
        <v/>
      </c>
      <c r="O77" s="102">
        <f>IF($N77="","",IF($N77="Normal","Normal",IF(OR($N77="Severe spike",$K77&gt;=IFERROR(VLOOKUP($H77,'Base Settings'!$A$13:$K$19,6,FALSE),0.5)),"Severe",IF(OR($N77="Usage spike",$N77="Usage drop"),"High","Medium"))))</f>
        <v/>
      </c>
      <c r="P77" s="144">
        <f>IF(OR($N77="",$N77="Normal"),0,ABS($I77-$J77)*'Energy Data Input'!$O77)</f>
        <v/>
      </c>
      <c r="Q77" s="102">
        <f>IF($N77="Normal","",IF($N77="Stalled reading / possibly offline","核查表计通信/Electricity池/网关/阀门Status",IF(AND($H77="Water",$N77&lt;&gt;"Normal"),"检查管网、阀门、卫生间、冷却塔及夜间最小流量",IF(AND($H77="Electricity",$N77&lt;&gt;"Normal"),"检查空调、照明、生产设备、PeakOff-peak时段与待机功耗",IF(AND($H77="Gas",$N77&lt;&gt;"Normal"),"检查燃Gas阀门、锅炉/厨房设备与泄漏风险","核查设备工况、排班、产量与计量数据")))))</f>
        <v/>
      </c>
      <c r="R77" s="102">
        <f>IF($H77="","",IFERROR(VLOOKUP($H77,'Base Settings'!$A$13:$K$19,11,FALSE),"Energy management owner"))</f>
        <v/>
      </c>
      <c r="S77" s="102">
        <f>IF($N77="","",IF($N77="Normal","No action needed","Open"))</f>
        <v/>
      </c>
      <c r="T77" s="141">
        <f>IF(OR($B77="",$N77="Normal"),"",WORKDAY($B77,IF($O77="Severe",1,IF($O77="High",2,3))))</f>
        <v/>
      </c>
      <c r="U77" s="102">
        <f>IF($T77="","",IF(AND($S77&lt;&gt;"Closed",TODAY()&gt;$T77),"Overdue","Not overdue"))</f>
        <v/>
      </c>
      <c r="V77" s="102" t="n"/>
      <c r="W77" s="141" t="n"/>
      <c r="X77" s="102" t="n"/>
    </row>
    <row r="78">
      <c r="A78" s="102">
        <f>IF('Energy Data Input'!$A78="","","AL-"&amp;TEXT(ROW()-5,"0000"))</f>
        <v/>
      </c>
      <c r="B78" s="141">
        <f>IF('Energy Data Input'!$B78="","",'Energy Data Input'!$B78)</f>
        <v/>
      </c>
      <c r="C78" s="102">
        <f>IF('Energy Data Input'!$C78="","",'Energy Data Input'!$C78)</f>
        <v/>
      </c>
      <c r="D78" s="102">
        <f>IF('Energy Data Input'!$D78="","",'Energy Data Input'!$D78)</f>
        <v/>
      </c>
      <c r="E78" s="102">
        <f>IF('Energy Data Input'!$E78="","",'Energy Data Input'!$E78)</f>
        <v/>
      </c>
      <c r="F78" s="102">
        <f>IF('Energy Data Input'!$G78="","",'Energy Data Input'!$G78)</f>
        <v/>
      </c>
      <c r="G78" s="102">
        <f>IF('Energy Data Input'!$H78="","",'Energy Data Input'!$H78)</f>
        <v/>
      </c>
      <c r="H78" s="102">
        <f>IF('Energy Data Input'!$J78="","",'Energy Data Input'!$J78)</f>
        <v/>
      </c>
      <c r="I78" s="142">
        <f>IF('Energy Data Input'!$N78="","",'Energy Data Input'!$N78)</f>
        <v/>
      </c>
      <c r="J78" s="142">
        <f>IF($B78="","",IFERROR(AVERAGEIFS('Energy Data Input'!$N$6:$N$205,'Energy Data Input'!$B$6:$B$205,"&gt;="&amp;$B78-7,'Energy Data Input'!$B$6:$B$205,"&lt;"&amp;$B78,'Energy Data Input'!$H$6:$H$205,$G78,'Energy Data Input'!$J$6:$J$205,$H78),$I78))</f>
        <v/>
      </c>
      <c r="K78" s="143">
        <f>IFERROR(($I78-$J78)/$J78,"")</f>
        <v/>
      </c>
      <c r="L78" s="102">
        <f>IF('Energy Data Input'!$V78="","",'Energy Data Input'!$V78)</f>
        <v/>
      </c>
      <c r="M78" s="102">
        <f>IF($H78="","",IFERROR(VLOOKUP($H78,'Base Settings'!$A$13:$K$19,5,FALSE),0.2))</f>
        <v/>
      </c>
      <c r="N78" s="102">
        <f>IF($B78="","",IF('Energy Data Input'!$L78="","Missing reading",IF($I78=0,"Stalled reading / possibly offline",IF($K78&gt;=IFERROR(VLOOKUP($H78,'Base Settings'!$A$13:$K$19,6,FALSE),0.5),"Severe spike",IF($K78&gt;=$M78,"Usage spike",IF($K78&lt;=-IFERROR(VLOOKUP($H78,'Base Settings'!$A$13:$K$19,7,FALSE),0.3),"Usage drop",IF($L78&gt;IFERROR(VLOOKUP($H78,'Base Settings'!$A$13:$K$19,8,FALSE),999999),"Area intensity overrun","Normal")))))))</f>
        <v/>
      </c>
      <c r="O78" s="102">
        <f>IF($N78="","",IF($N78="Normal","Normal",IF(OR($N78="Severe spike",$K78&gt;=IFERROR(VLOOKUP($H78,'Base Settings'!$A$13:$K$19,6,FALSE),0.5)),"Severe",IF(OR($N78="Usage spike",$N78="Usage drop"),"High","Medium"))))</f>
        <v/>
      </c>
      <c r="P78" s="144">
        <f>IF(OR($N78="",$N78="Normal"),0,ABS($I78-$J78)*'Energy Data Input'!$O78)</f>
        <v/>
      </c>
      <c r="Q78" s="102">
        <f>IF($N78="Normal","",IF($N78="Stalled reading / possibly offline","核查表计通信/Electricity池/网关/阀门Status",IF(AND($H78="Water",$N78&lt;&gt;"Normal"),"检查管网、阀门、卫生间、冷却塔及夜间最小流量",IF(AND($H78="Electricity",$N78&lt;&gt;"Normal"),"检查空调、照明、生产设备、PeakOff-peak时段与待机功耗",IF(AND($H78="Gas",$N78&lt;&gt;"Normal"),"检查燃Gas阀门、锅炉/厨房设备与泄漏风险","核查设备工况、排班、产量与计量数据")))))</f>
        <v/>
      </c>
      <c r="R78" s="102">
        <f>IF($H78="","",IFERROR(VLOOKUP($H78,'Base Settings'!$A$13:$K$19,11,FALSE),"Energy management owner"))</f>
        <v/>
      </c>
      <c r="S78" s="102">
        <f>IF($N78="","",IF($N78="Normal","No action needed","Open"))</f>
        <v/>
      </c>
      <c r="T78" s="141">
        <f>IF(OR($B78="",$N78="Normal"),"",WORKDAY($B78,IF($O78="Severe",1,IF($O78="High",2,3))))</f>
        <v/>
      </c>
      <c r="U78" s="102">
        <f>IF($T78="","",IF(AND($S78&lt;&gt;"Closed",TODAY()&gt;$T78),"Overdue","Not overdue"))</f>
        <v/>
      </c>
      <c r="V78" s="102" t="n"/>
      <c r="W78" s="141" t="n"/>
      <c r="X78" s="102" t="n"/>
    </row>
    <row r="79">
      <c r="A79" s="102">
        <f>IF('Energy Data Input'!$A79="","","AL-"&amp;TEXT(ROW()-5,"0000"))</f>
        <v/>
      </c>
      <c r="B79" s="141">
        <f>IF('Energy Data Input'!$B79="","",'Energy Data Input'!$B79)</f>
        <v/>
      </c>
      <c r="C79" s="102">
        <f>IF('Energy Data Input'!$C79="","",'Energy Data Input'!$C79)</f>
        <v/>
      </c>
      <c r="D79" s="102">
        <f>IF('Energy Data Input'!$D79="","",'Energy Data Input'!$D79)</f>
        <v/>
      </c>
      <c r="E79" s="102">
        <f>IF('Energy Data Input'!$E79="","",'Energy Data Input'!$E79)</f>
        <v/>
      </c>
      <c r="F79" s="102">
        <f>IF('Energy Data Input'!$G79="","",'Energy Data Input'!$G79)</f>
        <v/>
      </c>
      <c r="G79" s="102">
        <f>IF('Energy Data Input'!$H79="","",'Energy Data Input'!$H79)</f>
        <v/>
      </c>
      <c r="H79" s="102">
        <f>IF('Energy Data Input'!$J79="","",'Energy Data Input'!$J79)</f>
        <v/>
      </c>
      <c r="I79" s="142">
        <f>IF('Energy Data Input'!$N79="","",'Energy Data Input'!$N79)</f>
        <v/>
      </c>
      <c r="J79" s="142">
        <f>IF($B79="","",IFERROR(AVERAGEIFS('Energy Data Input'!$N$6:$N$205,'Energy Data Input'!$B$6:$B$205,"&gt;="&amp;$B79-7,'Energy Data Input'!$B$6:$B$205,"&lt;"&amp;$B79,'Energy Data Input'!$H$6:$H$205,$G79,'Energy Data Input'!$J$6:$J$205,$H79),$I79))</f>
        <v/>
      </c>
      <c r="K79" s="143">
        <f>IFERROR(($I79-$J79)/$J79,"")</f>
        <v/>
      </c>
      <c r="L79" s="102">
        <f>IF('Energy Data Input'!$V79="","",'Energy Data Input'!$V79)</f>
        <v/>
      </c>
      <c r="M79" s="102">
        <f>IF($H79="","",IFERROR(VLOOKUP($H79,'Base Settings'!$A$13:$K$19,5,FALSE),0.2))</f>
        <v/>
      </c>
      <c r="N79" s="102">
        <f>IF($B79="","",IF('Energy Data Input'!$L79="","Missing reading",IF($I79=0,"Stalled reading / possibly offline",IF($K79&gt;=IFERROR(VLOOKUP($H79,'Base Settings'!$A$13:$K$19,6,FALSE),0.5),"Severe spike",IF($K79&gt;=$M79,"Usage spike",IF($K79&lt;=-IFERROR(VLOOKUP($H79,'Base Settings'!$A$13:$K$19,7,FALSE),0.3),"Usage drop",IF($L79&gt;IFERROR(VLOOKUP($H79,'Base Settings'!$A$13:$K$19,8,FALSE),999999),"Area intensity overrun","Normal")))))))</f>
        <v/>
      </c>
      <c r="O79" s="102">
        <f>IF($N79="","",IF($N79="Normal","Normal",IF(OR($N79="Severe spike",$K79&gt;=IFERROR(VLOOKUP($H79,'Base Settings'!$A$13:$K$19,6,FALSE),0.5)),"Severe",IF(OR($N79="Usage spike",$N79="Usage drop"),"High","Medium"))))</f>
        <v/>
      </c>
      <c r="P79" s="144">
        <f>IF(OR($N79="",$N79="Normal"),0,ABS($I79-$J79)*'Energy Data Input'!$O79)</f>
        <v/>
      </c>
      <c r="Q79" s="102">
        <f>IF($N79="Normal","",IF($N79="Stalled reading / possibly offline","核查表计通信/Electricity池/网关/阀门Status",IF(AND($H79="Water",$N79&lt;&gt;"Normal"),"检查管网、阀门、卫生间、冷却塔及夜间最小流量",IF(AND($H79="Electricity",$N79&lt;&gt;"Normal"),"检查空调、照明、生产设备、PeakOff-peak时段与待机功耗",IF(AND($H79="Gas",$N79&lt;&gt;"Normal"),"检查燃Gas阀门、锅炉/厨房设备与泄漏风险","核查设备工况、排班、产量与计量数据")))))</f>
        <v/>
      </c>
      <c r="R79" s="102">
        <f>IF($H79="","",IFERROR(VLOOKUP($H79,'Base Settings'!$A$13:$K$19,11,FALSE),"Energy management owner"))</f>
        <v/>
      </c>
      <c r="S79" s="102">
        <f>IF($N79="","",IF($N79="Normal","No action needed","Open"))</f>
        <v/>
      </c>
      <c r="T79" s="141">
        <f>IF(OR($B79="",$N79="Normal"),"",WORKDAY($B79,IF($O79="Severe",1,IF($O79="High",2,3))))</f>
        <v/>
      </c>
      <c r="U79" s="102">
        <f>IF($T79="","",IF(AND($S79&lt;&gt;"Closed",TODAY()&gt;$T79),"Overdue","Not overdue"))</f>
        <v/>
      </c>
      <c r="V79" s="102" t="n"/>
      <c r="W79" s="141" t="n"/>
      <c r="X79" s="102" t="n"/>
    </row>
    <row r="80">
      <c r="A80" s="102">
        <f>IF('Energy Data Input'!$A80="","","AL-"&amp;TEXT(ROW()-5,"0000"))</f>
        <v/>
      </c>
      <c r="B80" s="141">
        <f>IF('Energy Data Input'!$B80="","",'Energy Data Input'!$B80)</f>
        <v/>
      </c>
      <c r="C80" s="102">
        <f>IF('Energy Data Input'!$C80="","",'Energy Data Input'!$C80)</f>
        <v/>
      </c>
      <c r="D80" s="102">
        <f>IF('Energy Data Input'!$D80="","",'Energy Data Input'!$D80)</f>
        <v/>
      </c>
      <c r="E80" s="102">
        <f>IF('Energy Data Input'!$E80="","",'Energy Data Input'!$E80)</f>
        <v/>
      </c>
      <c r="F80" s="102">
        <f>IF('Energy Data Input'!$G80="","",'Energy Data Input'!$G80)</f>
        <v/>
      </c>
      <c r="G80" s="102">
        <f>IF('Energy Data Input'!$H80="","",'Energy Data Input'!$H80)</f>
        <v/>
      </c>
      <c r="H80" s="102">
        <f>IF('Energy Data Input'!$J80="","",'Energy Data Input'!$J80)</f>
        <v/>
      </c>
      <c r="I80" s="142">
        <f>IF('Energy Data Input'!$N80="","",'Energy Data Input'!$N80)</f>
        <v/>
      </c>
      <c r="J80" s="142">
        <f>IF($B80="","",IFERROR(AVERAGEIFS('Energy Data Input'!$N$6:$N$205,'Energy Data Input'!$B$6:$B$205,"&gt;="&amp;$B80-7,'Energy Data Input'!$B$6:$B$205,"&lt;"&amp;$B80,'Energy Data Input'!$H$6:$H$205,$G80,'Energy Data Input'!$J$6:$J$205,$H80),$I80))</f>
        <v/>
      </c>
      <c r="K80" s="143">
        <f>IFERROR(($I80-$J80)/$J80,"")</f>
        <v/>
      </c>
      <c r="L80" s="102">
        <f>IF('Energy Data Input'!$V80="","",'Energy Data Input'!$V80)</f>
        <v/>
      </c>
      <c r="M80" s="102">
        <f>IF($H80="","",IFERROR(VLOOKUP($H80,'Base Settings'!$A$13:$K$19,5,FALSE),0.2))</f>
        <v/>
      </c>
      <c r="N80" s="102">
        <f>IF($B80="","",IF('Energy Data Input'!$L80="","Missing reading",IF($I80=0,"Stalled reading / possibly offline",IF($K80&gt;=IFERROR(VLOOKUP($H80,'Base Settings'!$A$13:$K$19,6,FALSE),0.5),"Severe spike",IF($K80&gt;=$M80,"Usage spike",IF($K80&lt;=-IFERROR(VLOOKUP($H80,'Base Settings'!$A$13:$K$19,7,FALSE),0.3),"Usage drop",IF($L80&gt;IFERROR(VLOOKUP($H80,'Base Settings'!$A$13:$K$19,8,FALSE),999999),"Area intensity overrun","Normal")))))))</f>
        <v/>
      </c>
      <c r="O80" s="102">
        <f>IF($N80="","",IF($N80="Normal","Normal",IF(OR($N80="Severe spike",$K80&gt;=IFERROR(VLOOKUP($H80,'Base Settings'!$A$13:$K$19,6,FALSE),0.5)),"Severe",IF(OR($N80="Usage spike",$N80="Usage drop"),"High","Medium"))))</f>
        <v/>
      </c>
      <c r="P80" s="144">
        <f>IF(OR($N80="",$N80="Normal"),0,ABS($I80-$J80)*'Energy Data Input'!$O80)</f>
        <v/>
      </c>
      <c r="Q80" s="102">
        <f>IF($N80="Normal","",IF($N80="Stalled reading / possibly offline","核查表计通信/Electricity池/网关/阀门Status",IF(AND($H80="Water",$N80&lt;&gt;"Normal"),"检查管网、阀门、卫生间、冷却塔及夜间最小流量",IF(AND($H80="Electricity",$N80&lt;&gt;"Normal"),"检查空调、照明、生产设备、PeakOff-peak时段与待机功耗",IF(AND($H80="Gas",$N80&lt;&gt;"Normal"),"检查燃Gas阀门、锅炉/厨房设备与泄漏风险","核查设备工况、排班、产量与计量数据")))))</f>
        <v/>
      </c>
      <c r="R80" s="102">
        <f>IF($H80="","",IFERROR(VLOOKUP($H80,'Base Settings'!$A$13:$K$19,11,FALSE),"Energy management owner"))</f>
        <v/>
      </c>
      <c r="S80" s="102">
        <f>IF($N80="","",IF($N80="Normal","No action needed","Open"))</f>
        <v/>
      </c>
      <c r="T80" s="141">
        <f>IF(OR($B80="",$N80="Normal"),"",WORKDAY($B80,IF($O80="Severe",1,IF($O80="High",2,3))))</f>
        <v/>
      </c>
      <c r="U80" s="102">
        <f>IF($T80="","",IF(AND($S80&lt;&gt;"Closed",TODAY()&gt;$T80),"Overdue","Not overdue"))</f>
        <v/>
      </c>
      <c r="V80" s="102" t="n"/>
      <c r="W80" s="141" t="n"/>
      <c r="X80" s="102" t="n"/>
    </row>
    <row r="81">
      <c r="A81" s="102">
        <f>IF('Energy Data Input'!$A81="","","AL-"&amp;TEXT(ROW()-5,"0000"))</f>
        <v/>
      </c>
      <c r="B81" s="141">
        <f>IF('Energy Data Input'!$B81="","",'Energy Data Input'!$B81)</f>
        <v/>
      </c>
      <c r="C81" s="102">
        <f>IF('Energy Data Input'!$C81="","",'Energy Data Input'!$C81)</f>
        <v/>
      </c>
      <c r="D81" s="102">
        <f>IF('Energy Data Input'!$D81="","",'Energy Data Input'!$D81)</f>
        <v/>
      </c>
      <c r="E81" s="102">
        <f>IF('Energy Data Input'!$E81="","",'Energy Data Input'!$E81)</f>
        <v/>
      </c>
      <c r="F81" s="102">
        <f>IF('Energy Data Input'!$G81="","",'Energy Data Input'!$G81)</f>
        <v/>
      </c>
      <c r="G81" s="102">
        <f>IF('Energy Data Input'!$H81="","",'Energy Data Input'!$H81)</f>
        <v/>
      </c>
      <c r="H81" s="102">
        <f>IF('Energy Data Input'!$J81="","",'Energy Data Input'!$J81)</f>
        <v/>
      </c>
      <c r="I81" s="142">
        <f>IF('Energy Data Input'!$N81="","",'Energy Data Input'!$N81)</f>
        <v/>
      </c>
      <c r="J81" s="142">
        <f>IF($B81="","",IFERROR(AVERAGEIFS('Energy Data Input'!$N$6:$N$205,'Energy Data Input'!$B$6:$B$205,"&gt;="&amp;$B81-7,'Energy Data Input'!$B$6:$B$205,"&lt;"&amp;$B81,'Energy Data Input'!$H$6:$H$205,$G81,'Energy Data Input'!$J$6:$J$205,$H81),$I81))</f>
        <v/>
      </c>
      <c r="K81" s="143">
        <f>IFERROR(($I81-$J81)/$J81,"")</f>
        <v/>
      </c>
      <c r="L81" s="102">
        <f>IF('Energy Data Input'!$V81="","",'Energy Data Input'!$V81)</f>
        <v/>
      </c>
      <c r="M81" s="102">
        <f>IF($H81="","",IFERROR(VLOOKUP($H81,'Base Settings'!$A$13:$K$19,5,FALSE),0.2))</f>
        <v/>
      </c>
      <c r="N81" s="102">
        <f>IF($B81="","",IF('Energy Data Input'!$L81="","Missing reading",IF($I81=0,"Stalled reading / possibly offline",IF($K81&gt;=IFERROR(VLOOKUP($H81,'Base Settings'!$A$13:$K$19,6,FALSE),0.5),"Severe spike",IF($K81&gt;=$M81,"Usage spike",IF($K81&lt;=-IFERROR(VLOOKUP($H81,'Base Settings'!$A$13:$K$19,7,FALSE),0.3),"Usage drop",IF($L81&gt;IFERROR(VLOOKUP($H81,'Base Settings'!$A$13:$K$19,8,FALSE),999999),"Area intensity overrun","Normal")))))))</f>
        <v/>
      </c>
      <c r="O81" s="102">
        <f>IF($N81="","",IF($N81="Normal","Normal",IF(OR($N81="Severe spike",$K81&gt;=IFERROR(VLOOKUP($H81,'Base Settings'!$A$13:$K$19,6,FALSE),0.5)),"Severe",IF(OR($N81="Usage spike",$N81="Usage drop"),"High","Medium"))))</f>
        <v/>
      </c>
      <c r="P81" s="144">
        <f>IF(OR($N81="",$N81="Normal"),0,ABS($I81-$J81)*'Energy Data Input'!$O81)</f>
        <v/>
      </c>
      <c r="Q81" s="102">
        <f>IF($N81="Normal","",IF($N81="Stalled reading / possibly offline","核查表计通信/Electricity池/网关/阀门Status",IF(AND($H81="Water",$N81&lt;&gt;"Normal"),"检查管网、阀门、卫生间、冷却塔及夜间最小流量",IF(AND($H81="Electricity",$N81&lt;&gt;"Normal"),"检查空调、照明、生产设备、PeakOff-peak时段与待机功耗",IF(AND($H81="Gas",$N81&lt;&gt;"Normal"),"检查燃Gas阀门、锅炉/厨房设备与泄漏风险","核查设备工况、排班、产量与计量数据")))))</f>
        <v/>
      </c>
      <c r="R81" s="102">
        <f>IF($H81="","",IFERROR(VLOOKUP($H81,'Base Settings'!$A$13:$K$19,11,FALSE),"Energy management owner"))</f>
        <v/>
      </c>
      <c r="S81" s="102">
        <f>IF($N81="","",IF($N81="Normal","No action needed","Open"))</f>
        <v/>
      </c>
      <c r="T81" s="141">
        <f>IF(OR($B81="",$N81="Normal"),"",WORKDAY($B81,IF($O81="Severe",1,IF($O81="High",2,3))))</f>
        <v/>
      </c>
      <c r="U81" s="102">
        <f>IF($T81="","",IF(AND($S81&lt;&gt;"Closed",TODAY()&gt;$T81),"Overdue","Not overdue"))</f>
        <v/>
      </c>
      <c r="V81" s="102" t="n"/>
      <c r="W81" s="141" t="n"/>
      <c r="X81" s="102" t="n"/>
    </row>
    <row r="82">
      <c r="A82" s="102">
        <f>IF('Energy Data Input'!$A82="","","AL-"&amp;TEXT(ROW()-5,"0000"))</f>
        <v/>
      </c>
      <c r="B82" s="141">
        <f>IF('Energy Data Input'!$B82="","",'Energy Data Input'!$B82)</f>
        <v/>
      </c>
      <c r="C82" s="102">
        <f>IF('Energy Data Input'!$C82="","",'Energy Data Input'!$C82)</f>
        <v/>
      </c>
      <c r="D82" s="102">
        <f>IF('Energy Data Input'!$D82="","",'Energy Data Input'!$D82)</f>
        <v/>
      </c>
      <c r="E82" s="102">
        <f>IF('Energy Data Input'!$E82="","",'Energy Data Input'!$E82)</f>
        <v/>
      </c>
      <c r="F82" s="102">
        <f>IF('Energy Data Input'!$G82="","",'Energy Data Input'!$G82)</f>
        <v/>
      </c>
      <c r="G82" s="102">
        <f>IF('Energy Data Input'!$H82="","",'Energy Data Input'!$H82)</f>
        <v/>
      </c>
      <c r="H82" s="102">
        <f>IF('Energy Data Input'!$J82="","",'Energy Data Input'!$J82)</f>
        <v/>
      </c>
      <c r="I82" s="142">
        <f>IF('Energy Data Input'!$N82="","",'Energy Data Input'!$N82)</f>
        <v/>
      </c>
      <c r="J82" s="142">
        <f>IF($B82="","",IFERROR(AVERAGEIFS('Energy Data Input'!$N$6:$N$205,'Energy Data Input'!$B$6:$B$205,"&gt;="&amp;$B82-7,'Energy Data Input'!$B$6:$B$205,"&lt;"&amp;$B82,'Energy Data Input'!$H$6:$H$205,$G82,'Energy Data Input'!$J$6:$J$205,$H82),$I82))</f>
        <v/>
      </c>
      <c r="K82" s="143">
        <f>IFERROR(($I82-$J82)/$J82,"")</f>
        <v/>
      </c>
      <c r="L82" s="102">
        <f>IF('Energy Data Input'!$V82="","",'Energy Data Input'!$V82)</f>
        <v/>
      </c>
      <c r="M82" s="102">
        <f>IF($H82="","",IFERROR(VLOOKUP($H82,'Base Settings'!$A$13:$K$19,5,FALSE),0.2))</f>
        <v/>
      </c>
      <c r="N82" s="102">
        <f>IF($B82="","",IF('Energy Data Input'!$L82="","Missing reading",IF($I82=0,"Stalled reading / possibly offline",IF($K82&gt;=IFERROR(VLOOKUP($H82,'Base Settings'!$A$13:$K$19,6,FALSE),0.5),"Severe spike",IF($K82&gt;=$M82,"Usage spike",IF($K82&lt;=-IFERROR(VLOOKUP($H82,'Base Settings'!$A$13:$K$19,7,FALSE),0.3),"Usage drop",IF($L82&gt;IFERROR(VLOOKUP($H82,'Base Settings'!$A$13:$K$19,8,FALSE),999999),"Area intensity overrun","Normal")))))))</f>
        <v/>
      </c>
      <c r="O82" s="102">
        <f>IF($N82="","",IF($N82="Normal","Normal",IF(OR($N82="Severe spike",$K82&gt;=IFERROR(VLOOKUP($H82,'Base Settings'!$A$13:$K$19,6,FALSE),0.5)),"Severe",IF(OR($N82="Usage spike",$N82="Usage drop"),"High","Medium"))))</f>
        <v/>
      </c>
      <c r="P82" s="144">
        <f>IF(OR($N82="",$N82="Normal"),0,ABS($I82-$J82)*'Energy Data Input'!$O82)</f>
        <v/>
      </c>
      <c r="Q82" s="102">
        <f>IF($N82="Normal","",IF($N82="Stalled reading / possibly offline","核查表计通信/Electricity池/网关/阀门Status",IF(AND($H82="Water",$N82&lt;&gt;"Normal"),"检查管网、阀门、卫生间、冷却塔及夜间最小流量",IF(AND($H82="Electricity",$N82&lt;&gt;"Normal"),"检查空调、照明、生产设备、PeakOff-peak时段与待机功耗",IF(AND($H82="Gas",$N82&lt;&gt;"Normal"),"检查燃Gas阀门、锅炉/厨房设备与泄漏风险","核查设备工况、排班、产量与计量数据")))))</f>
        <v/>
      </c>
      <c r="R82" s="102">
        <f>IF($H82="","",IFERROR(VLOOKUP($H82,'Base Settings'!$A$13:$K$19,11,FALSE),"Energy management owner"))</f>
        <v/>
      </c>
      <c r="S82" s="102">
        <f>IF($N82="","",IF($N82="Normal","No action needed","Open"))</f>
        <v/>
      </c>
      <c r="T82" s="141">
        <f>IF(OR($B82="",$N82="Normal"),"",WORKDAY($B82,IF($O82="Severe",1,IF($O82="High",2,3))))</f>
        <v/>
      </c>
      <c r="U82" s="102">
        <f>IF($T82="","",IF(AND($S82&lt;&gt;"Closed",TODAY()&gt;$T82),"Overdue","Not overdue"))</f>
        <v/>
      </c>
      <c r="V82" s="102" t="n"/>
      <c r="W82" s="141" t="n"/>
      <c r="X82" s="102" t="n"/>
    </row>
    <row r="83">
      <c r="A83" s="102">
        <f>IF('Energy Data Input'!$A83="","","AL-"&amp;TEXT(ROW()-5,"0000"))</f>
        <v/>
      </c>
      <c r="B83" s="141">
        <f>IF('Energy Data Input'!$B83="","",'Energy Data Input'!$B83)</f>
        <v/>
      </c>
      <c r="C83" s="102">
        <f>IF('Energy Data Input'!$C83="","",'Energy Data Input'!$C83)</f>
        <v/>
      </c>
      <c r="D83" s="102">
        <f>IF('Energy Data Input'!$D83="","",'Energy Data Input'!$D83)</f>
        <v/>
      </c>
      <c r="E83" s="102">
        <f>IF('Energy Data Input'!$E83="","",'Energy Data Input'!$E83)</f>
        <v/>
      </c>
      <c r="F83" s="102">
        <f>IF('Energy Data Input'!$G83="","",'Energy Data Input'!$G83)</f>
        <v/>
      </c>
      <c r="G83" s="102">
        <f>IF('Energy Data Input'!$H83="","",'Energy Data Input'!$H83)</f>
        <v/>
      </c>
      <c r="H83" s="102">
        <f>IF('Energy Data Input'!$J83="","",'Energy Data Input'!$J83)</f>
        <v/>
      </c>
      <c r="I83" s="142">
        <f>IF('Energy Data Input'!$N83="","",'Energy Data Input'!$N83)</f>
        <v/>
      </c>
      <c r="J83" s="142">
        <f>IF($B83="","",IFERROR(AVERAGEIFS('Energy Data Input'!$N$6:$N$205,'Energy Data Input'!$B$6:$B$205,"&gt;="&amp;$B83-7,'Energy Data Input'!$B$6:$B$205,"&lt;"&amp;$B83,'Energy Data Input'!$H$6:$H$205,$G83,'Energy Data Input'!$J$6:$J$205,$H83),$I83))</f>
        <v/>
      </c>
      <c r="K83" s="143">
        <f>IFERROR(($I83-$J83)/$J83,"")</f>
        <v/>
      </c>
      <c r="L83" s="102">
        <f>IF('Energy Data Input'!$V83="","",'Energy Data Input'!$V83)</f>
        <v/>
      </c>
      <c r="M83" s="102">
        <f>IF($H83="","",IFERROR(VLOOKUP($H83,'Base Settings'!$A$13:$K$19,5,FALSE),0.2))</f>
        <v/>
      </c>
      <c r="N83" s="102">
        <f>IF($B83="","",IF('Energy Data Input'!$L83="","Missing reading",IF($I83=0,"Stalled reading / possibly offline",IF($K83&gt;=IFERROR(VLOOKUP($H83,'Base Settings'!$A$13:$K$19,6,FALSE),0.5),"Severe spike",IF($K83&gt;=$M83,"Usage spike",IF($K83&lt;=-IFERROR(VLOOKUP($H83,'Base Settings'!$A$13:$K$19,7,FALSE),0.3),"Usage drop",IF($L83&gt;IFERROR(VLOOKUP($H83,'Base Settings'!$A$13:$K$19,8,FALSE),999999),"Area intensity overrun","Normal")))))))</f>
        <v/>
      </c>
      <c r="O83" s="102">
        <f>IF($N83="","",IF($N83="Normal","Normal",IF(OR($N83="Severe spike",$K83&gt;=IFERROR(VLOOKUP($H83,'Base Settings'!$A$13:$K$19,6,FALSE),0.5)),"Severe",IF(OR($N83="Usage spike",$N83="Usage drop"),"High","Medium"))))</f>
        <v/>
      </c>
      <c r="P83" s="144">
        <f>IF(OR($N83="",$N83="Normal"),0,ABS($I83-$J83)*'Energy Data Input'!$O83)</f>
        <v/>
      </c>
      <c r="Q83" s="102">
        <f>IF($N83="Normal","",IF($N83="Stalled reading / possibly offline","核查表计通信/Electricity池/网关/阀门Status",IF(AND($H83="Water",$N83&lt;&gt;"Normal"),"检查管网、阀门、卫生间、冷却塔及夜间最小流量",IF(AND($H83="Electricity",$N83&lt;&gt;"Normal"),"检查空调、照明、生产设备、PeakOff-peak时段与待机功耗",IF(AND($H83="Gas",$N83&lt;&gt;"Normal"),"检查燃Gas阀门、锅炉/厨房设备与泄漏风险","核查设备工况、排班、产量与计量数据")))))</f>
        <v/>
      </c>
      <c r="R83" s="102">
        <f>IF($H83="","",IFERROR(VLOOKUP($H83,'Base Settings'!$A$13:$K$19,11,FALSE),"Energy management owner"))</f>
        <v/>
      </c>
      <c r="S83" s="102">
        <f>IF($N83="","",IF($N83="Normal","No action needed","Open"))</f>
        <v/>
      </c>
      <c r="T83" s="141">
        <f>IF(OR($B83="",$N83="Normal"),"",WORKDAY($B83,IF($O83="Severe",1,IF($O83="High",2,3))))</f>
        <v/>
      </c>
      <c r="U83" s="102">
        <f>IF($T83="","",IF(AND($S83&lt;&gt;"Closed",TODAY()&gt;$T83),"Overdue","Not overdue"))</f>
        <v/>
      </c>
      <c r="V83" s="102" t="n"/>
      <c r="W83" s="141" t="n"/>
      <c r="X83" s="102" t="n"/>
    </row>
    <row r="84">
      <c r="A84" s="102">
        <f>IF('Energy Data Input'!$A84="","","AL-"&amp;TEXT(ROW()-5,"0000"))</f>
        <v/>
      </c>
      <c r="B84" s="141">
        <f>IF('Energy Data Input'!$B84="","",'Energy Data Input'!$B84)</f>
        <v/>
      </c>
      <c r="C84" s="102">
        <f>IF('Energy Data Input'!$C84="","",'Energy Data Input'!$C84)</f>
        <v/>
      </c>
      <c r="D84" s="102">
        <f>IF('Energy Data Input'!$D84="","",'Energy Data Input'!$D84)</f>
        <v/>
      </c>
      <c r="E84" s="102">
        <f>IF('Energy Data Input'!$E84="","",'Energy Data Input'!$E84)</f>
        <v/>
      </c>
      <c r="F84" s="102">
        <f>IF('Energy Data Input'!$G84="","",'Energy Data Input'!$G84)</f>
        <v/>
      </c>
      <c r="G84" s="102">
        <f>IF('Energy Data Input'!$H84="","",'Energy Data Input'!$H84)</f>
        <v/>
      </c>
      <c r="H84" s="102">
        <f>IF('Energy Data Input'!$J84="","",'Energy Data Input'!$J84)</f>
        <v/>
      </c>
      <c r="I84" s="142">
        <f>IF('Energy Data Input'!$N84="","",'Energy Data Input'!$N84)</f>
        <v/>
      </c>
      <c r="J84" s="142">
        <f>IF($B84="","",IFERROR(AVERAGEIFS('Energy Data Input'!$N$6:$N$205,'Energy Data Input'!$B$6:$B$205,"&gt;="&amp;$B84-7,'Energy Data Input'!$B$6:$B$205,"&lt;"&amp;$B84,'Energy Data Input'!$H$6:$H$205,$G84,'Energy Data Input'!$J$6:$J$205,$H84),$I84))</f>
        <v/>
      </c>
      <c r="K84" s="143">
        <f>IFERROR(($I84-$J84)/$J84,"")</f>
        <v/>
      </c>
      <c r="L84" s="102">
        <f>IF('Energy Data Input'!$V84="","",'Energy Data Input'!$V84)</f>
        <v/>
      </c>
      <c r="M84" s="102">
        <f>IF($H84="","",IFERROR(VLOOKUP($H84,'Base Settings'!$A$13:$K$19,5,FALSE),0.2))</f>
        <v/>
      </c>
      <c r="N84" s="102">
        <f>IF($B84="","",IF('Energy Data Input'!$L84="","Missing reading",IF($I84=0,"Stalled reading / possibly offline",IF($K84&gt;=IFERROR(VLOOKUP($H84,'Base Settings'!$A$13:$K$19,6,FALSE),0.5),"Severe spike",IF($K84&gt;=$M84,"Usage spike",IF($K84&lt;=-IFERROR(VLOOKUP($H84,'Base Settings'!$A$13:$K$19,7,FALSE),0.3),"Usage drop",IF($L84&gt;IFERROR(VLOOKUP($H84,'Base Settings'!$A$13:$K$19,8,FALSE),999999),"Area intensity overrun","Normal")))))))</f>
        <v/>
      </c>
      <c r="O84" s="102">
        <f>IF($N84="","",IF($N84="Normal","Normal",IF(OR($N84="Severe spike",$K84&gt;=IFERROR(VLOOKUP($H84,'Base Settings'!$A$13:$K$19,6,FALSE),0.5)),"Severe",IF(OR($N84="Usage spike",$N84="Usage drop"),"High","Medium"))))</f>
        <v/>
      </c>
      <c r="P84" s="144">
        <f>IF(OR($N84="",$N84="Normal"),0,ABS($I84-$J84)*'Energy Data Input'!$O84)</f>
        <v/>
      </c>
      <c r="Q84" s="102">
        <f>IF($N84="Normal","",IF($N84="Stalled reading / possibly offline","核查表计通信/Electricity池/网关/阀门Status",IF(AND($H84="Water",$N84&lt;&gt;"Normal"),"检查管网、阀门、卫生间、冷却塔及夜间最小流量",IF(AND($H84="Electricity",$N84&lt;&gt;"Normal"),"检查空调、照明、生产设备、PeakOff-peak时段与待机功耗",IF(AND($H84="Gas",$N84&lt;&gt;"Normal"),"检查燃Gas阀门、锅炉/厨房设备与泄漏风险","核查设备工况、排班、产量与计量数据")))))</f>
        <v/>
      </c>
      <c r="R84" s="102">
        <f>IF($H84="","",IFERROR(VLOOKUP($H84,'Base Settings'!$A$13:$K$19,11,FALSE),"Energy management owner"))</f>
        <v/>
      </c>
      <c r="S84" s="102">
        <f>IF($N84="","",IF($N84="Normal","No action needed","Open"))</f>
        <v/>
      </c>
      <c r="T84" s="141">
        <f>IF(OR($B84="",$N84="Normal"),"",WORKDAY($B84,IF($O84="Severe",1,IF($O84="High",2,3))))</f>
        <v/>
      </c>
      <c r="U84" s="102">
        <f>IF($T84="","",IF(AND($S84&lt;&gt;"Closed",TODAY()&gt;$T84),"Overdue","Not overdue"))</f>
        <v/>
      </c>
      <c r="V84" s="102" t="n"/>
      <c r="W84" s="141" t="n"/>
      <c r="X84" s="102" t="n"/>
    </row>
    <row r="85">
      <c r="A85" s="102">
        <f>IF('Energy Data Input'!$A85="","","AL-"&amp;TEXT(ROW()-5,"0000"))</f>
        <v/>
      </c>
      <c r="B85" s="141">
        <f>IF('Energy Data Input'!$B85="","",'Energy Data Input'!$B85)</f>
        <v/>
      </c>
      <c r="C85" s="102">
        <f>IF('Energy Data Input'!$C85="","",'Energy Data Input'!$C85)</f>
        <v/>
      </c>
      <c r="D85" s="102">
        <f>IF('Energy Data Input'!$D85="","",'Energy Data Input'!$D85)</f>
        <v/>
      </c>
      <c r="E85" s="102">
        <f>IF('Energy Data Input'!$E85="","",'Energy Data Input'!$E85)</f>
        <v/>
      </c>
      <c r="F85" s="102">
        <f>IF('Energy Data Input'!$G85="","",'Energy Data Input'!$G85)</f>
        <v/>
      </c>
      <c r="G85" s="102">
        <f>IF('Energy Data Input'!$H85="","",'Energy Data Input'!$H85)</f>
        <v/>
      </c>
      <c r="H85" s="102">
        <f>IF('Energy Data Input'!$J85="","",'Energy Data Input'!$J85)</f>
        <v/>
      </c>
      <c r="I85" s="142">
        <f>IF('Energy Data Input'!$N85="","",'Energy Data Input'!$N85)</f>
        <v/>
      </c>
      <c r="J85" s="142">
        <f>IF($B85="","",IFERROR(AVERAGEIFS('Energy Data Input'!$N$6:$N$205,'Energy Data Input'!$B$6:$B$205,"&gt;="&amp;$B85-7,'Energy Data Input'!$B$6:$B$205,"&lt;"&amp;$B85,'Energy Data Input'!$H$6:$H$205,$G85,'Energy Data Input'!$J$6:$J$205,$H85),$I85))</f>
        <v/>
      </c>
      <c r="K85" s="143">
        <f>IFERROR(($I85-$J85)/$J85,"")</f>
        <v/>
      </c>
      <c r="L85" s="102">
        <f>IF('Energy Data Input'!$V85="","",'Energy Data Input'!$V85)</f>
        <v/>
      </c>
      <c r="M85" s="102">
        <f>IF($H85="","",IFERROR(VLOOKUP($H85,'Base Settings'!$A$13:$K$19,5,FALSE),0.2))</f>
        <v/>
      </c>
      <c r="N85" s="102">
        <f>IF($B85="","",IF('Energy Data Input'!$L85="","Missing reading",IF($I85=0,"Stalled reading / possibly offline",IF($K85&gt;=IFERROR(VLOOKUP($H85,'Base Settings'!$A$13:$K$19,6,FALSE),0.5),"Severe spike",IF($K85&gt;=$M85,"Usage spike",IF($K85&lt;=-IFERROR(VLOOKUP($H85,'Base Settings'!$A$13:$K$19,7,FALSE),0.3),"Usage drop",IF($L85&gt;IFERROR(VLOOKUP($H85,'Base Settings'!$A$13:$K$19,8,FALSE),999999),"Area intensity overrun","Normal")))))))</f>
        <v/>
      </c>
      <c r="O85" s="102">
        <f>IF($N85="","",IF($N85="Normal","Normal",IF(OR($N85="Severe spike",$K85&gt;=IFERROR(VLOOKUP($H85,'Base Settings'!$A$13:$K$19,6,FALSE),0.5)),"Severe",IF(OR($N85="Usage spike",$N85="Usage drop"),"High","Medium"))))</f>
        <v/>
      </c>
      <c r="P85" s="144">
        <f>IF(OR($N85="",$N85="Normal"),0,ABS($I85-$J85)*'Energy Data Input'!$O85)</f>
        <v/>
      </c>
      <c r="Q85" s="102">
        <f>IF($N85="Normal","",IF($N85="Stalled reading / possibly offline","核查表计通信/Electricity池/网关/阀门Status",IF(AND($H85="Water",$N85&lt;&gt;"Normal"),"检查管网、阀门、卫生间、冷却塔及夜间最小流量",IF(AND($H85="Electricity",$N85&lt;&gt;"Normal"),"检查空调、照明、生产设备、PeakOff-peak时段与待机功耗",IF(AND($H85="Gas",$N85&lt;&gt;"Normal"),"检查燃Gas阀门、锅炉/厨房设备与泄漏风险","核查设备工况、排班、产量与计量数据")))))</f>
        <v/>
      </c>
      <c r="R85" s="102">
        <f>IF($H85="","",IFERROR(VLOOKUP($H85,'Base Settings'!$A$13:$K$19,11,FALSE),"Energy management owner"))</f>
        <v/>
      </c>
      <c r="S85" s="102">
        <f>IF($N85="","",IF($N85="Normal","No action needed","Open"))</f>
        <v/>
      </c>
      <c r="T85" s="141">
        <f>IF(OR($B85="",$N85="Normal"),"",WORKDAY($B85,IF($O85="Severe",1,IF($O85="High",2,3))))</f>
        <v/>
      </c>
      <c r="U85" s="102">
        <f>IF($T85="","",IF(AND($S85&lt;&gt;"Closed",TODAY()&gt;$T85),"Overdue","Not overdue"))</f>
        <v/>
      </c>
      <c r="V85" s="102" t="n"/>
      <c r="W85" s="141" t="n"/>
      <c r="X85" s="102" t="n"/>
    </row>
    <row r="86">
      <c r="A86" s="102">
        <f>IF('Energy Data Input'!$A86="","","AL-"&amp;TEXT(ROW()-5,"0000"))</f>
        <v/>
      </c>
      <c r="B86" s="141">
        <f>IF('Energy Data Input'!$B86="","",'Energy Data Input'!$B86)</f>
        <v/>
      </c>
      <c r="C86" s="102">
        <f>IF('Energy Data Input'!$C86="","",'Energy Data Input'!$C86)</f>
        <v/>
      </c>
      <c r="D86" s="102">
        <f>IF('Energy Data Input'!$D86="","",'Energy Data Input'!$D86)</f>
        <v/>
      </c>
      <c r="E86" s="102">
        <f>IF('Energy Data Input'!$E86="","",'Energy Data Input'!$E86)</f>
        <v/>
      </c>
      <c r="F86" s="102">
        <f>IF('Energy Data Input'!$G86="","",'Energy Data Input'!$G86)</f>
        <v/>
      </c>
      <c r="G86" s="102">
        <f>IF('Energy Data Input'!$H86="","",'Energy Data Input'!$H86)</f>
        <v/>
      </c>
      <c r="H86" s="102">
        <f>IF('Energy Data Input'!$J86="","",'Energy Data Input'!$J86)</f>
        <v/>
      </c>
      <c r="I86" s="142">
        <f>IF('Energy Data Input'!$N86="","",'Energy Data Input'!$N86)</f>
        <v/>
      </c>
      <c r="J86" s="142">
        <f>IF($B86="","",IFERROR(AVERAGEIFS('Energy Data Input'!$N$6:$N$205,'Energy Data Input'!$B$6:$B$205,"&gt;="&amp;$B86-7,'Energy Data Input'!$B$6:$B$205,"&lt;"&amp;$B86,'Energy Data Input'!$H$6:$H$205,$G86,'Energy Data Input'!$J$6:$J$205,$H86),$I86))</f>
        <v/>
      </c>
      <c r="K86" s="143">
        <f>IFERROR(($I86-$J86)/$J86,"")</f>
        <v/>
      </c>
      <c r="L86" s="102">
        <f>IF('Energy Data Input'!$V86="","",'Energy Data Input'!$V86)</f>
        <v/>
      </c>
      <c r="M86" s="102">
        <f>IF($H86="","",IFERROR(VLOOKUP($H86,'Base Settings'!$A$13:$K$19,5,FALSE),0.2))</f>
        <v/>
      </c>
      <c r="N86" s="102">
        <f>IF($B86="","",IF('Energy Data Input'!$L86="","Missing reading",IF($I86=0,"Stalled reading / possibly offline",IF($K86&gt;=IFERROR(VLOOKUP($H86,'Base Settings'!$A$13:$K$19,6,FALSE),0.5),"Severe spike",IF($K86&gt;=$M86,"Usage spike",IF($K86&lt;=-IFERROR(VLOOKUP($H86,'Base Settings'!$A$13:$K$19,7,FALSE),0.3),"Usage drop",IF($L86&gt;IFERROR(VLOOKUP($H86,'Base Settings'!$A$13:$K$19,8,FALSE),999999),"Area intensity overrun","Normal")))))))</f>
        <v/>
      </c>
      <c r="O86" s="102">
        <f>IF($N86="","",IF($N86="Normal","Normal",IF(OR($N86="Severe spike",$K86&gt;=IFERROR(VLOOKUP($H86,'Base Settings'!$A$13:$K$19,6,FALSE),0.5)),"Severe",IF(OR($N86="Usage spike",$N86="Usage drop"),"High","Medium"))))</f>
        <v/>
      </c>
      <c r="P86" s="144">
        <f>IF(OR($N86="",$N86="Normal"),0,ABS($I86-$J86)*'Energy Data Input'!$O86)</f>
        <v/>
      </c>
      <c r="Q86" s="102">
        <f>IF($N86="Normal","",IF($N86="Stalled reading / possibly offline","核查表计通信/Electricity池/网关/阀门Status",IF(AND($H86="Water",$N86&lt;&gt;"Normal"),"检查管网、阀门、卫生间、冷却塔及夜间最小流量",IF(AND($H86="Electricity",$N86&lt;&gt;"Normal"),"检查空调、照明、生产设备、PeakOff-peak时段与待机功耗",IF(AND($H86="Gas",$N86&lt;&gt;"Normal"),"检查燃Gas阀门、锅炉/厨房设备与泄漏风险","核查设备工况、排班、产量与计量数据")))))</f>
        <v/>
      </c>
      <c r="R86" s="102">
        <f>IF($H86="","",IFERROR(VLOOKUP($H86,'Base Settings'!$A$13:$K$19,11,FALSE),"Energy management owner"))</f>
        <v/>
      </c>
      <c r="S86" s="102">
        <f>IF($N86="","",IF($N86="Normal","No action needed","Open"))</f>
        <v/>
      </c>
      <c r="T86" s="141">
        <f>IF(OR($B86="",$N86="Normal"),"",WORKDAY($B86,IF($O86="Severe",1,IF($O86="High",2,3))))</f>
        <v/>
      </c>
      <c r="U86" s="102">
        <f>IF($T86="","",IF(AND($S86&lt;&gt;"Closed",TODAY()&gt;$T86),"Overdue","Not overdue"))</f>
        <v/>
      </c>
      <c r="V86" s="102" t="n"/>
      <c r="W86" s="141" t="n"/>
      <c r="X86" s="102" t="n"/>
    </row>
    <row r="87">
      <c r="A87" s="102">
        <f>IF('Energy Data Input'!$A87="","","AL-"&amp;TEXT(ROW()-5,"0000"))</f>
        <v/>
      </c>
      <c r="B87" s="141">
        <f>IF('Energy Data Input'!$B87="","",'Energy Data Input'!$B87)</f>
        <v/>
      </c>
      <c r="C87" s="102">
        <f>IF('Energy Data Input'!$C87="","",'Energy Data Input'!$C87)</f>
        <v/>
      </c>
      <c r="D87" s="102">
        <f>IF('Energy Data Input'!$D87="","",'Energy Data Input'!$D87)</f>
        <v/>
      </c>
      <c r="E87" s="102">
        <f>IF('Energy Data Input'!$E87="","",'Energy Data Input'!$E87)</f>
        <v/>
      </c>
      <c r="F87" s="102">
        <f>IF('Energy Data Input'!$G87="","",'Energy Data Input'!$G87)</f>
        <v/>
      </c>
      <c r="G87" s="102">
        <f>IF('Energy Data Input'!$H87="","",'Energy Data Input'!$H87)</f>
        <v/>
      </c>
      <c r="H87" s="102">
        <f>IF('Energy Data Input'!$J87="","",'Energy Data Input'!$J87)</f>
        <v/>
      </c>
      <c r="I87" s="142">
        <f>IF('Energy Data Input'!$N87="","",'Energy Data Input'!$N87)</f>
        <v/>
      </c>
      <c r="J87" s="142">
        <f>IF($B87="","",IFERROR(AVERAGEIFS('Energy Data Input'!$N$6:$N$205,'Energy Data Input'!$B$6:$B$205,"&gt;="&amp;$B87-7,'Energy Data Input'!$B$6:$B$205,"&lt;"&amp;$B87,'Energy Data Input'!$H$6:$H$205,$G87,'Energy Data Input'!$J$6:$J$205,$H87),$I87))</f>
        <v/>
      </c>
      <c r="K87" s="143">
        <f>IFERROR(($I87-$J87)/$J87,"")</f>
        <v/>
      </c>
      <c r="L87" s="102">
        <f>IF('Energy Data Input'!$V87="","",'Energy Data Input'!$V87)</f>
        <v/>
      </c>
      <c r="M87" s="102">
        <f>IF($H87="","",IFERROR(VLOOKUP($H87,'Base Settings'!$A$13:$K$19,5,FALSE),0.2))</f>
        <v/>
      </c>
      <c r="N87" s="102">
        <f>IF($B87="","",IF('Energy Data Input'!$L87="","Missing reading",IF($I87=0,"Stalled reading / possibly offline",IF($K87&gt;=IFERROR(VLOOKUP($H87,'Base Settings'!$A$13:$K$19,6,FALSE),0.5),"Severe spike",IF($K87&gt;=$M87,"Usage spike",IF($K87&lt;=-IFERROR(VLOOKUP($H87,'Base Settings'!$A$13:$K$19,7,FALSE),0.3),"Usage drop",IF($L87&gt;IFERROR(VLOOKUP($H87,'Base Settings'!$A$13:$K$19,8,FALSE),999999),"Area intensity overrun","Normal")))))))</f>
        <v/>
      </c>
      <c r="O87" s="102">
        <f>IF($N87="","",IF($N87="Normal","Normal",IF(OR($N87="Severe spike",$K87&gt;=IFERROR(VLOOKUP($H87,'Base Settings'!$A$13:$K$19,6,FALSE),0.5)),"Severe",IF(OR($N87="Usage spike",$N87="Usage drop"),"High","Medium"))))</f>
        <v/>
      </c>
      <c r="P87" s="144">
        <f>IF(OR($N87="",$N87="Normal"),0,ABS($I87-$J87)*'Energy Data Input'!$O87)</f>
        <v/>
      </c>
      <c r="Q87" s="102">
        <f>IF($N87="Normal","",IF($N87="Stalled reading / possibly offline","核查表计通信/Electricity池/网关/阀门Status",IF(AND($H87="Water",$N87&lt;&gt;"Normal"),"检查管网、阀门、卫生间、冷却塔及夜间最小流量",IF(AND($H87="Electricity",$N87&lt;&gt;"Normal"),"检查空调、照明、生产设备、PeakOff-peak时段与待机功耗",IF(AND($H87="Gas",$N87&lt;&gt;"Normal"),"检查燃Gas阀门、锅炉/厨房设备与泄漏风险","核查设备工况、排班、产量与计量数据")))))</f>
        <v/>
      </c>
      <c r="R87" s="102">
        <f>IF($H87="","",IFERROR(VLOOKUP($H87,'Base Settings'!$A$13:$K$19,11,FALSE),"Energy management owner"))</f>
        <v/>
      </c>
      <c r="S87" s="102">
        <f>IF($N87="","",IF($N87="Normal","No action needed","Open"))</f>
        <v/>
      </c>
      <c r="T87" s="141">
        <f>IF(OR($B87="",$N87="Normal"),"",WORKDAY($B87,IF($O87="Severe",1,IF($O87="High",2,3))))</f>
        <v/>
      </c>
      <c r="U87" s="102">
        <f>IF($T87="","",IF(AND($S87&lt;&gt;"Closed",TODAY()&gt;$T87),"Overdue","Not overdue"))</f>
        <v/>
      </c>
      <c r="V87" s="102" t="n"/>
      <c r="W87" s="141" t="n"/>
      <c r="X87" s="102" t="n"/>
    </row>
    <row r="88">
      <c r="A88" s="102">
        <f>IF('Energy Data Input'!$A88="","","AL-"&amp;TEXT(ROW()-5,"0000"))</f>
        <v/>
      </c>
      <c r="B88" s="141">
        <f>IF('Energy Data Input'!$B88="","",'Energy Data Input'!$B88)</f>
        <v/>
      </c>
      <c r="C88" s="102">
        <f>IF('Energy Data Input'!$C88="","",'Energy Data Input'!$C88)</f>
        <v/>
      </c>
      <c r="D88" s="102">
        <f>IF('Energy Data Input'!$D88="","",'Energy Data Input'!$D88)</f>
        <v/>
      </c>
      <c r="E88" s="102">
        <f>IF('Energy Data Input'!$E88="","",'Energy Data Input'!$E88)</f>
        <v/>
      </c>
      <c r="F88" s="102">
        <f>IF('Energy Data Input'!$G88="","",'Energy Data Input'!$G88)</f>
        <v/>
      </c>
      <c r="G88" s="102">
        <f>IF('Energy Data Input'!$H88="","",'Energy Data Input'!$H88)</f>
        <v/>
      </c>
      <c r="H88" s="102">
        <f>IF('Energy Data Input'!$J88="","",'Energy Data Input'!$J88)</f>
        <v/>
      </c>
      <c r="I88" s="142">
        <f>IF('Energy Data Input'!$N88="","",'Energy Data Input'!$N88)</f>
        <v/>
      </c>
      <c r="J88" s="142">
        <f>IF($B88="","",IFERROR(AVERAGEIFS('Energy Data Input'!$N$6:$N$205,'Energy Data Input'!$B$6:$B$205,"&gt;="&amp;$B88-7,'Energy Data Input'!$B$6:$B$205,"&lt;"&amp;$B88,'Energy Data Input'!$H$6:$H$205,$G88,'Energy Data Input'!$J$6:$J$205,$H88),$I88))</f>
        <v/>
      </c>
      <c r="K88" s="143">
        <f>IFERROR(($I88-$J88)/$J88,"")</f>
        <v/>
      </c>
      <c r="L88" s="102">
        <f>IF('Energy Data Input'!$V88="","",'Energy Data Input'!$V88)</f>
        <v/>
      </c>
      <c r="M88" s="102">
        <f>IF($H88="","",IFERROR(VLOOKUP($H88,'Base Settings'!$A$13:$K$19,5,FALSE),0.2))</f>
        <v/>
      </c>
      <c r="N88" s="102">
        <f>IF($B88="","",IF('Energy Data Input'!$L88="","Missing reading",IF($I88=0,"Stalled reading / possibly offline",IF($K88&gt;=IFERROR(VLOOKUP($H88,'Base Settings'!$A$13:$K$19,6,FALSE),0.5),"Severe spike",IF($K88&gt;=$M88,"Usage spike",IF($K88&lt;=-IFERROR(VLOOKUP($H88,'Base Settings'!$A$13:$K$19,7,FALSE),0.3),"Usage drop",IF($L88&gt;IFERROR(VLOOKUP($H88,'Base Settings'!$A$13:$K$19,8,FALSE),999999),"Area intensity overrun","Normal")))))))</f>
        <v/>
      </c>
      <c r="O88" s="102">
        <f>IF($N88="","",IF($N88="Normal","Normal",IF(OR($N88="Severe spike",$K88&gt;=IFERROR(VLOOKUP($H88,'Base Settings'!$A$13:$K$19,6,FALSE),0.5)),"Severe",IF(OR($N88="Usage spike",$N88="Usage drop"),"High","Medium"))))</f>
        <v/>
      </c>
      <c r="P88" s="144">
        <f>IF(OR($N88="",$N88="Normal"),0,ABS($I88-$J88)*'Energy Data Input'!$O88)</f>
        <v/>
      </c>
      <c r="Q88" s="102">
        <f>IF($N88="Normal","",IF($N88="Stalled reading / possibly offline","核查表计通信/Electricity池/网关/阀门Status",IF(AND($H88="Water",$N88&lt;&gt;"Normal"),"检查管网、阀门、卫生间、冷却塔及夜间最小流量",IF(AND($H88="Electricity",$N88&lt;&gt;"Normal"),"检查空调、照明、生产设备、PeakOff-peak时段与待机功耗",IF(AND($H88="Gas",$N88&lt;&gt;"Normal"),"检查燃Gas阀门、锅炉/厨房设备与泄漏风险","核查设备工况、排班、产量与计量数据")))))</f>
        <v/>
      </c>
      <c r="R88" s="102">
        <f>IF($H88="","",IFERROR(VLOOKUP($H88,'Base Settings'!$A$13:$K$19,11,FALSE),"Energy management owner"))</f>
        <v/>
      </c>
      <c r="S88" s="102">
        <f>IF($N88="","",IF($N88="Normal","No action needed","Open"))</f>
        <v/>
      </c>
      <c r="T88" s="141">
        <f>IF(OR($B88="",$N88="Normal"),"",WORKDAY($B88,IF($O88="Severe",1,IF($O88="High",2,3))))</f>
        <v/>
      </c>
      <c r="U88" s="102">
        <f>IF($T88="","",IF(AND($S88&lt;&gt;"Closed",TODAY()&gt;$T88),"Overdue","Not overdue"))</f>
        <v/>
      </c>
      <c r="V88" s="102" t="n"/>
      <c r="W88" s="141" t="n"/>
      <c r="X88" s="102" t="n"/>
    </row>
    <row r="89">
      <c r="A89" s="102">
        <f>IF('Energy Data Input'!$A89="","","AL-"&amp;TEXT(ROW()-5,"0000"))</f>
        <v/>
      </c>
      <c r="B89" s="141">
        <f>IF('Energy Data Input'!$B89="","",'Energy Data Input'!$B89)</f>
        <v/>
      </c>
      <c r="C89" s="102">
        <f>IF('Energy Data Input'!$C89="","",'Energy Data Input'!$C89)</f>
        <v/>
      </c>
      <c r="D89" s="102">
        <f>IF('Energy Data Input'!$D89="","",'Energy Data Input'!$D89)</f>
        <v/>
      </c>
      <c r="E89" s="102">
        <f>IF('Energy Data Input'!$E89="","",'Energy Data Input'!$E89)</f>
        <v/>
      </c>
      <c r="F89" s="102">
        <f>IF('Energy Data Input'!$G89="","",'Energy Data Input'!$G89)</f>
        <v/>
      </c>
      <c r="G89" s="102">
        <f>IF('Energy Data Input'!$H89="","",'Energy Data Input'!$H89)</f>
        <v/>
      </c>
      <c r="H89" s="102">
        <f>IF('Energy Data Input'!$J89="","",'Energy Data Input'!$J89)</f>
        <v/>
      </c>
      <c r="I89" s="142">
        <f>IF('Energy Data Input'!$N89="","",'Energy Data Input'!$N89)</f>
        <v/>
      </c>
      <c r="J89" s="142">
        <f>IF($B89="","",IFERROR(AVERAGEIFS('Energy Data Input'!$N$6:$N$205,'Energy Data Input'!$B$6:$B$205,"&gt;="&amp;$B89-7,'Energy Data Input'!$B$6:$B$205,"&lt;"&amp;$B89,'Energy Data Input'!$H$6:$H$205,$G89,'Energy Data Input'!$J$6:$J$205,$H89),$I89))</f>
        <v/>
      </c>
      <c r="K89" s="143">
        <f>IFERROR(($I89-$J89)/$J89,"")</f>
        <v/>
      </c>
      <c r="L89" s="102">
        <f>IF('Energy Data Input'!$V89="","",'Energy Data Input'!$V89)</f>
        <v/>
      </c>
      <c r="M89" s="102">
        <f>IF($H89="","",IFERROR(VLOOKUP($H89,'Base Settings'!$A$13:$K$19,5,FALSE),0.2))</f>
        <v/>
      </c>
      <c r="N89" s="102">
        <f>IF($B89="","",IF('Energy Data Input'!$L89="","Missing reading",IF($I89=0,"Stalled reading / possibly offline",IF($K89&gt;=IFERROR(VLOOKUP($H89,'Base Settings'!$A$13:$K$19,6,FALSE),0.5),"Severe spike",IF($K89&gt;=$M89,"Usage spike",IF($K89&lt;=-IFERROR(VLOOKUP($H89,'Base Settings'!$A$13:$K$19,7,FALSE),0.3),"Usage drop",IF($L89&gt;IFERROR(VLOOKUP($H89,'Base Settings'!$A$13:$K$19,8,FALSE),999999),"Area intensity overrun","Normal")))))))</f>
        <v/>
      </c>
      <c r="O89" s="102">
        <f>IF($N89="","",IF($N89="Normal","Normal",IF(OR($N89="Severe spike",$K89&gt;=IFERROR(VLOOKUP($H89,'Base Settings'!$A$13:$K$19,6,FALSE),0.5)),"Severe",IF(OR($N89="Usage spike",$N89="Usage drop"),"High","Medium"))))</f>
        <v/>
      </c>
      <c r="P89" s="144">
        <f>IF(OR($N89="",$N89="Normal"),0,ABS($I89-$J89)*'Energy Data Input'!$O89)</f>
        <v/>
      </c>
      <c r="Q89" s="102">
        <f>IF($N89="Normal","",IF($N89="Stalled reading / possibly offline","核查表计通信/Electricity池/网关/阀门Status",IF(AND($H89="Water",$N89&lt;&gt;"Normal"),"检查管网、阀门、卫生间、冷却塔及夜间最小流量",IF(AND($H89="Electricity",$N89&lt;&gt;"Normal"),"检查空调、照明、生产设备、PeakOff-peak时段与待机功耗",IF(AND($H89="Gas",$N89&lt;&gt;"Normal"),"检查燃Gas阀门、锅炉/厨房设备与泄漏风险","核查设备工况、排班、产量与计量数据")))))</f>
        <v/>
      </c>
      <c r="R89" s="102">
        <f>IF($H89="","",IFERROR(VLOOKUP($H89,'Base Settings'!$A$13:$K$19,11,FALSE),"Energy management owner"))</f>
        <v/>
      </c>
      <c r="S89" s="102">
        <f>IF($N89="","",IF($N89="Normal","No action needed","Open"))</f>
        <v/>
      </c>
      <c r="T89" s="141">
        <f>IF(OR($B89="",$N89="Normal"),"",WORKDAY($B89,IF($O89="Severe",1,IF($O89="High",2,3))))</f>
        <v/>
      </c>
      <c r="U89" s="102">
        <f>IF($T89="","",IF(AND($S89&lt;&gt;"Closed",TODAY()&gt;$T89),"Overdue","Not overdue"))</f>
        <v/>
      </c>
      <c r="V89" s="102" t="n"/>
      <c r="W89" s="141" t="n"/>
      <c r="X89" s="102" t="n"/>
    </row>
    <row r="90">
      <c r="A90" s="102">
        <f>IF('Energy Data Input'!$A90="","","AL-"&amp;TEXT(ROW()-5,"0000"))</f>
        <v/>
      </c>
      <c r="B90" s="141">
        <f>IF('Energy Data Input'!$B90="","",'Energy Data Input'!$B90)</f>
        <v/>
      </c>
      <c r="C90" s="102">
        <f>IF('Energy Data Input'!$C90="","",'Energy Data Input'!$C90)</f>
        <v/>
      </c>
      <c r="D90" s="102">
        <f>IF('Energy Data Input'!$D90="","",'Energy Data Input'!$D90)</f>
        <v/>
      </c>
      <c r="E90" s="102">
        <f>IF('Energy Data Input'!$E90="","",'Energy Data Input'!$E90)</f>
        <v/>
      </c>
      <c r="F90" s="102">
        <f>IF('Energy Data Input'!$G90="","",'Energy Data Input'!$G90)</f>
        <v/>
      </c>
      <c r="G90" s="102">
        <f>IF('Energy Data Input'!$H90="","",'Energy Data Input'!$H90)</f>
        <v/>
      </c>
      <c r="H90" s="102">
        <f>IF('Energy Data Input'!$J90="","",'Energy Data Input'!$J90)</f>
        <v/>
      </c>
      <c r="I90" s="142">
        <f>IF('Energy Data Input'!$N90="","",'Energy Data Input'!$N90)</f>
        <v/>
      </c>
      <c r="J90" s="142">
        <f>IF($B90="","",IFERROR(AVERAGEIFS('Energy Data Input'!$N$6:$N$205,'Energy Data Input'!$B$6:$B$205,"&gt;="&amp;$B90-7,'Energy Data Input'!$B$6:$B$205,"&lt;"&amp;$B90,'Energy Data Input'!$H$6:$H$205,$G90,'Energy Data Input'!$J$6:$J$205,$H90),$I90))</f>
        <v/>
      </c>
      <c r="K90" s="143">
        <f>IFERROR(($I90-$J90)/$J90,"")</f>
        <v/>
      </c>
      <c r="L90" s="102">
        <f>IF('Energy Data Input'!$V90="","",'Energy Data Input'!$V90)</f>
        <v/>
      </c>
      <c r="M90" s="102">
        <f>IF($H90="","",IFERROR(VLOOKUP($H90,'Base Settings'!$A$13:$K$19,5,FALSE),0.2))</f>
        <v/>
      </c>
      <c r="N90" s="102">
        <f>IF($B90="","",IF('Energy Data Input'!$L90="","Missing reading",IF($I90=0,"Stalled reading / possibly offline",IF($K90&gt;=IFERROR(VLOOKUP($H90,'Base Settings'!$A$13:$K$19,6,FALSE),0.5),"Severe spike",IF($K90&gt;=$M90,"Usage spike",IF($K90&lt;=-IFERROR(VLOOKUP($H90,'Base Settings'!$A$13:$K$19,7,FALSE),0.3),"Usage drop",IF($L90&gt;IFERROR(VLOOKUP($H90,'Base Settings'!$A$13:$K$19,8,FALSE),999999),"Area intensity overrun","Normal")))))))</f>
        <v/>
      </c>
      <c r="O90" s="102">
        <f>IF($N90="","",IF($N90="Normal","Normal",IF(OR($N90="Severe spike",$K90&gt;=IFERROR(VLOOKUP($H90,'Base Settings'!$A$13:$K$19,6,FALSE),0.5)),"Severe",IF(OR($N90="Usage spike",$N90="Usage drop"),"High","Medium"))))</f>
        <v/>
      </c>
      <c r="P90" s="144">
        <f>IF(OR($N90="",$N90="Normal"),0,ABS($I90-$J90)*'Energy Data Input'!$O90)</f>
        <v/>
      </c>
      <c r="Q90" s="102">
        <f>IF($N90="Normal","",IF($N90="Stalled reading / possibly offline","核查表计通信/Electricity池/网关/阀门Status",IF(AND($H90="Water",$N90&lt;&gt;"Normal"),"检查管网、阀门、卫生间、冷却塔及夜间最小流量",IF(AND($H90="Electricity",$N90&lt;&gt;"Normal"),"检查空调、照明、生产设备、PeakOff-peak时段与待机功耗",IF(AND($H90="Gas",$N90&lt;&gt;"Normal"),"检查燃Gas阀门、锅炉/厨房设备与泄漏风险","核查设备工况、排班、产量与计量数据")))))</f>
        <v/>
      </c>
      <c r="R90" s="102">
        <f>IF($H90="","",IFERROR(VLOOKUP($H90,'Base Settings'!$A$13:$K$19,11,FALSE),"Energy management owner"))</f>
        <v/>
      </c>
      <c r="S90" s="102">
        <f>IF($N90="","",IF($N90="Normal","No action needed","Open"))</f>
        <v/>
      </c>
      <c r="T90" s="141">
        <f>IF(OR($B90="",$N90="Normal"),"",WORKDAY($B90,IF($O90="Severe",1,IF($O90="High",2,3))))</f>
        <v/>
      </c>
      <c r="U90" s="102">
        <f>IF($T90="","",IF(AND($S90&lt;&gt;"Closed",TODAY()&gt;$T90),"Overdue","Not overdue"))</f>
        <v/>
      </c>
      <c r="V90" s="102" t="n"/>
      <c r="W90" s="141" t="n"/>
      <c r="X90" s="102" t="n"/>
    </row>
    <row r="91">
      <c r="A91" s="102">
        <f>IF('Energy Data Input'!$A91="","","AL-"&amp;TEXT(ROW()-5,"0000"))</f>
        <v/>
      </c>
      <c r="B91" s="141">
        <f>IF('Energy Data Input'!$B91="","",'Energy Data Input'!$B91)</f>
        <v/>
      </c>
      <c r="C91" s="102">
        <f>IF('Energy Data Input'!$C91="","",'Energy Data Input'!$C91)</f>
        <v/>
      </c>
      <c r="D91" s="102">
        <f>IF('Energy Data Input'!$D91="","",'Energy Data Input'!$D91)</f>
        <v/>
      </c>
      <c r="E91" s="102">
        <f>IF('Energy Data Input'!$E91="","",'Energy Data Input'!$E91)</f>
        <v/>
      </c>
      <c r="F91" s="102">
        <f>IF('Energy Data Input'!$G91="","",'Energy Data Input'!$G91)</f>
        <v/>
      </c>
      <c r="G91" s="102">
        <f>IF('Energy Data Input'!$H91="","",'Energy Data Input'!$H91)</f>
        <v/>
      </c>
      <c r="H91" s="102">
        <f>IF('Energy Data Input'!$J91="","",'Energy Data Input'!$J91)</f>
        <v/>
      </c>
      <c r="I91" s="142">
        <f>IF('Energy Data Input'!$N91="","",'Energy Data Input'!$N91)</f>
        <v/>
      </c>
      <c r="J91" s="142">
        <f>IF($B91="","",IFERROR(AVERAGEIFS('Energy Data Input'!$N$6:$N$205,'Energy Data Input'!$B$6:$B$205,"&gt;="&amp;$B91-7,'Energy Data Input'!$B$6:$B$205,"&lt;"&amp;$B91,'Energy Data Input'!$H$6:$H$205,$G91,'Energy Data Input'!$J$6:$J$205,$H91),$I91))</f>
        <v/>
      </c>
      <c r="K91" s="143">
        <f>IFERROR(($I91-$J91)/$J91,"")</f>
        <v/>
      </c>
      <c r="L91" s="102">
        <f>IF('Energy Data Input'!$V91="","",'Energy Data Input'!$V91)</f>
        <v/>
      </c>
      <c r="M91" s="102">
        <f>IF($H91="","",IFERROR(VLOOKUP($H91,'Base Settings'!$A$13:$K$19,5,FALSE),0.2))</f>
        <v/>
      </c>
      <c r="N91" s="102">
        <f>IF($B91="","",IF('Energy Data Input'!$L91="","Missing reading",IF($I91=0,"Stalled reading / possibly offline",IF($K91&gt;=IFERROR(VLOOKUP($H91,'Base Settings'!$A$13:$K$19,6,FALSE),0.5),"Severe spike",IF($K91&gt;=$M91,"Usage spike",IF($K91&lt;=-IFERROR(VLOOKUP($H91,'Base Settings'!$A$13:$K$19,7,FALSE),0.3),"Usage drop",IF($L91&gt;IFERROR(VLOOKUP($H91,'Base Settings'!$A$13:$K$19,8,FALSE),999999),"Area intensity overrun","Normal")))))))</f>
        <v/>
      </c>
      <c r="O91" s="102">
        <f>IF($N91="","",IF($N91="Normal","Normal",IF(OR($N91="Severe spike",$K91&gt;=IFERROR(VLOOKUP($H91,'Base Settings'!$A$13:$K$19,6,FALSE),0.5)),"Severe",IF(OR($N91="Usage spike",$N91="Usage drop"),"High","Medium"))))</f>
        <v/>
      </c>
      <c r="P91" s="144">
        <f>IF(OR($N91="",$N91="Normal"),0,ABS($I91-$J91)*'Energy Data Input'!$O91)</f>
        <v/>
      </c>
      <c r="Q91" s="102">
        <f>IF($N91="Normal","",IF($N91="Stalled reading / possibly offline","核查表计通信/Electricity池/网关/阀门Status",IF(AND($H91="Water",$N91&lt;&gt;"Normal"),"检查管网、阀门、卫生间、冷却塔及夜间最小流量",IF(AND($H91="Electricity",$N91&lt;&gt;"Normal"),"检查空调、照明、生产设备、PeakOff-peak时段与待机功耗",IF(AND($H91="Gas",$N91&lt;&gt;"Normal"),"检查燃Gas阀门、锅炉/厨房设备与泄漏风险","核查设备工况、排班、产量与计量数据")))))</f>
        <v/>
      </c>
      <c r="R91" s="102">
        <f>IF($H91="","",IFERROR(VLOOKUP($H91,'Base Settings'!$A$13:$K$19,11,FALSE),"Energy management owner"))</f>
        <v/>
      </c>
      <c r="S91" s="102">
        <f>IF($N91="","",IF($N91="Normal","No action needed","Open"))</f>
        <v/>
      </c>
      <c r="T91" s="141">
        <f>IF(OR($B91="",$N91="Normal"),"",WORKDAY($B91,IF($O91="Severe",1,IF($O91="High",2,3))))</f>
        <v/>
      </c>
      <c r="U91" s="102">
        <f>IF($T91="","",IF(AND($S91&lt;&gt;"Closed",TODAY()&gt;$T91),"Overdue","Not overdue"))</f>
        <v/>
      </c>
      <c r="V91" s="102" t="n"/>
      <c r="W91" s="141" t="n"/>
      <c r="X91" s="102" t="n"/>
    </row>
    <row r="92">
      <c r="A92" s="102">
        <f>IF('Energy Data Input'!$A92="","","AL-"&amp;TEXT(ROW()-5,"0000"))</f>
        <v/>
      </c>
      <c r="B92" s="141">
        <f>IF('Energy Data Input'!$B92="","",'Energy Data Input'!$B92)</f>
        <v/>
      </c>
      <c r="C92" s="102">
        <f>IF('Energy Data Input'!$C92="","",'Energy Data Input'!$C92)</f>
        <v/>
      </c>
      <c r="D92" s="102">
        <f>IF('Energy Data Input'!$D92="","",'Energy Data Input'!$D92)</f>
        <v/>
      </c>
      <c r="E92" s="102">
        <f>IF('Energy Data Input'!$E92="","",'Energy Data Input'!$E92)</f>
        <v/>
      </c>
      <c r="F92" s="102">
        <f>IF('Energy Data Input'!$G92="","",'Energy Data Input'!$G92)</f>
        <v/>
      </c>
      <c r="G92" s="102">
        <f>IF('Energy Data Input'!$H92="","",'Energy Data Input'!$H92)</f>
        <v/>
      </c>
      <c r="H92" s="102">
        <f>IF('Energy Data Input'!$J92="","",'Energy Data Input'!$J92)</f>
        <v/>
      </c>
      <c r="I92" s="142">
        <f>IF('Energy Data Input'!$N92="","",'Energy Data Input'!$N92)</f>
        <v/>
      </c>
      <c r="J92" s="142">
        <f>IF($B92="","",IFERROR(AVERAGEIFS('Energy Data Input'!$N$6:$N$205,'Energy Data Input'!$B$6:$B$205,"&gt;="&amp;$B92-7,'Energy Data Input'!$B$6:$B$205,"&lt;"&amp;$B92,'Energy Data Input'!$H$6:$H$205,$G92,'Energy Data Input'!$J$6:$J$205,$H92),$I92))</f>
        <v/>
      </c>
      <c r="K92" s="143">
        <f>IFERROR(($I92-$J92)/$J92,"")</f>
        <v/>
      </c>
      <c r="L92" s="102">
        <f>IF('Energy Data Input'!$V92="","",'Energy Data Input'!$V92)</f>
        <v/>
      </c>
      <c r="M92" s="102">
        <f>IF($H92="","",IFERROR(VLOOKUP($H92,'Base Settings'!$A$13:$K$19,5,FALSE),0.2))</f>
        <v/>
      </c>
      <c r="N92" s="102">
        <f>IF($B92="","",IF('Energy Data Input'!$L92="","Missing reading",IF($I92=0,"Stalled reading / possibly offline",IF($K92&gt;=IFERROR(VLOOKUP($H92,'Base Settings'!$A$13:$K$19,6,FALSE),0.5),"Severe spike",IF($K92&gt;=$M92,"Usage spike",IF($K92&lt;=-IFERROR(VLOOKUP($H92,'Base Settings'!$A$13:$K$19,7,FALSE),0.3),"Usage drop",IF($L92&gt;IFERROR(VLOOKUP($H92,'Base Settings'!$A$13:$K$19,8,FALSE),999999),"Area intensity overrun","Normal")))))))</f>
        <v/>
      </c>
      <c r="O92" s="102">
        <f>IF($N92="","",IF($N92="Normal","Normal",IF(OR($N92="Severe spike",$K92&gt;=IFERROR(VLOOKUP($H92,'Base Settings'!$A$13:$K$19,6,FALSE),0.5)),"Severe",IF(OR($N92="Usage spike",$N92="Usage drop"),"High","Medium"))))</f>
        <v/>
      </c>
      <c r="P92" s="144">
        <f>IF(OR($N92="",$N92="Normal"),0,ABS($I92-$J92)*'Energy Data Input'!$O92)</f>
        <v/>
      </c>
      <c r="Q92" s="102">
        <f>IF($N92="Normal","",IF($N92="Stalled reading / possibly offline","核查表计通信/Electricity池/网关/阀门Status",IF(AND($H92="Water",$N92&lt;&gt;"Normal"),"检查管网、阀门、卫生间、冷却塔及夜间最小流量",IF(AND($H92="Electricity",$N92&lt;&gt;"Normal"),"检查空调、照明、生产设备、PeakOff-peak时段与待机功耗",IF(AND($H92="Gas",$N92&lt;&gt;"Normal"),"检查燃Gas阀门、锅炉/厨房设备与泄漏风险","核查设备工况、排班、产量与计量数据")))))</f>
        <v/>
      </c>
      <c r="R92" s="102">
        <f>IF($H92="","",IFERROR(VLOOKUP($H92,'Base Settings'!$A$13:$K$19,11,FALSE),"Energy management owner"))</f>
        <v/>
      </c>
      <c r="S92" s="102">
        <f>IF($N92="","",IF($N92="Normal","No action needed","Open"))</f>
        <v/>
      </c>
      <c r="T92" s="141">
        <f>IF(OR($B92="",$N92="Normal"),"",WORKDAY($B92,IF($O92="Severe",1,IF($O92="High",2,3))))</f>
        <v/>
      </c>
      <c r="U92" s="102">
        <f>IF($T92="","",IF(AND($S92&lt;&gt;"Closed",TODAY()&gt;$T92),"Overdue","Not overdue"))</f>
        <v/>
      </c>
      <c r="V92" s="102" t="n"/>
      <c r="W92" s="141" t="n"/>
      <c r="X92" s="102" t="n"/>
    </row>
    <row r="93">
      <c r="A93" s="102">
        <f>IF('Energy Data Input'!$A93="","","AL-"&amp;TEXT(ROW()-5,"0000"))</f>
        <v/>
      </c>
      <c r="B93" s="141">
        <f>IF('Energy Data Input'!$B93="","",'Energy Data Input'!$B93)</f>
        <v/>
      </c>
      <c r="C93" s="102">
        <f>IF('Energy Data Input'!$C93="","",'Energy Data Input'!$C93)</f>
        <v/>
      </c>
      <c r="D93" s="102">
        <f>IF('Energy Data Input'!$D93="","",'Energy Data Input'!$D93)</f>
        <v/>
      </c>
      <c r="E93" s="102">
        <f>IF('Energy Data Input'!$E93="","",'Energy Data Input'!$E93)</f>
        <v/>
      </c>
      <c r="F93" s="102">
        <f>IF('Energy Data Input'!$G93="","",'Energy Data Input'!$G93)</f>
        <v/>
      </c>
      <c r="G93" s="102">
        <f>IF('Energy Data Input'!$H93="","",'Energy Data Input'!$H93)</f>
        <v/>
      </c>
      <c r="H93" s="102">
        <f>IF('Energy Data Input'!$J93="","",'Energy Data Input'!$J93)</f>
        <v/>
      </c>
      <c r="I93" s="142">
        <f>IF('Energy Data Input'!$N93="","",'Energy Data Input'!$N93)</f>
        <v/>
      </c>
      <c r="J93" s="142">
        <f>IF($B93="","",IFERROR(AVERAGEIFS('Energy Data Input'!$N$6:$N$205,'Energy Data Input'!$B$6:$B$205,"&gt;="&amp;$B93-7,'Energy Data Input'!$B$6:$B$205,"&lt;"&amp;$B93,'Energy Data Input'!$H$6:$H$205,$G93,'Energy Data Input'!$J$6:$J$205,$H93),$I93))</f>
        <v/>
      </c>
      <c r="K93" s="143">
        <f>IFERROR(($I93-$J93)/$J93,"")</f>
        <v/>
      </c>
      <c r="L93" s="102">
        <f>IF('Energy Data Input'!$V93="","",'Energy Data Input'!$V93)</f>
        <v/>
      </c>
      <c r="M93" s="102">
        <f>IF($H93="","",IFERROR(VLOOKUP($H93,'Base Settings'!$A$13:$K$19,5,FALSE),0.2))</f>
        <v/>
      </c>
      <c r="N93" s="102">
        <f>IF($B93="","",IF('Energy Data Input'!$L93="","Missing reading",IF($I93=0,"Stalled reading / possibly offline",IF($K93&gt;=IFERROR(VLOOKUP($H93,'Base Settings'!$A$13:$K$19,6,FALSE),0.5),"Severe spike",IF($K93&gt;=$M93,"Usage spike",IF($K93&lt;=-IFERROR(VLOOKUP($H93,'Base Settings'!$A$13:$K$19,7,FALSE),0.3),"Usage drop",IF($L93&gt;IFERROR(VLOOKUP($H93,'Base Settings'!$A$13:$K$19,8,FALSE),999999),"Area intensity overrun","Normal")))))))</f>
        <v/>
      </c>
      <c r="O93" s="102">
        <f>IF($N93="","",IF($N93="Normal","Normal",IF(OR($N93="Severe spike",$K93&gt;=IFERROR(VLOOKUP($H93,'Base Settings'!$A$13:$K$19,6,FALSE),0.5)),"Severe",IF(OR($N93="Usage spike",$N93="Usage drop"),"High","Medium"))))</f>
        <v/>
      </c>
      <c r="P93" s="144">
        <f>IF(OR($N93="",$N93="Normal"),0,ABS($I93-$J93)*'Energy Data Input'!$O93)</f>
        <v/>
      </c>
      <c r="Q93" s="102">
        <f>IF($N93="Normal","",IF($N93="Stalled reading / possibly offline","核查表计通信/Electricity池/网关/阀门Status",IF(AND($H93="Water",$N93&lt;&gt;"Normal"),"检查管网、阀门、卫生间、冷却塔及夜间最小流量",IF(AND($H93="Electricity",$N93&lt;&gt;"Normal"),"检查空调、照明、生产设备、PeakOff-peak时段与待机功耗",IF(AND($H93="Gas",$N93&lt;&gt;"Normal"),"检查燃Gas阀门、锅炉/厨房设备与泄漏风险","核查设备工况、排班、产量与计量数据")))))</f>
        <v/>
      </c>
      <c r="R93" s="102">
        <f>IF($H93="","",IFERROR(VLOOKUP($H93,'Base Settings'!$A$13:$K$19,11,FALSE),"Energy management owner"))</f>
        <v/>
      </c>
      <c r="S93" s="102">
        <f>IF($N93="","",IF($N93="Normal","No action needed","Open"))</f>
        <v/>
      </c>
      <c r="T93" s="141">
        <f>IF(OR($B93="",$N93="Normal"),"",WORKDAY($B93,IF($O93="Severe",1,IF($O93="High",2,3))))</f>
        <v/>
      </c>
      <c r="U93" s="102">
        <f>IF($T93="","",IF(AND($S93&lt;&gt;"Closed",TODAY()&gt;$T93),"Overdue","Not overdue"))</f>
        <v/>
      </c>
      <c r="V93" s="102" t="n"/>
      <c r="W93" s="141" t="n"/>
      <c r="X93" s="102" t="n"/>
    </row>
    <row r="94">
      <c r="A94" s="102">
        <f>IF('Energy Data Input'!$A94="","","AL-"&amp;TEXT(ROW()-5,"0000"))</f>
        <v/>
      </c>
      <c r="B94" s="141">
        <f>IF('Energy Data Input'!$B94="","",'Energy Data Input'!$B94)</f>
        <v/>
      </c>
      <c r="C94" s="102">
        <f>IF('Energy Data Input'!$C94="","",'Energy Data Input'!$C94)</f>
        <v/>
      </c>
      <c r="D94" s="102">
        <f>IF('Energy Data Input'!$D94="","",'Energy Data Input'!$D94)</f>
        <v/>
      </c>
      <c r="E94" s="102">
        <f>IF('Energy Data Input'!$E94="","",'Energy Data Input'!$E94)</f>
        <v/>
      </c>
      <c r="F94" s="102">
        <f>IF('Energy Data Input'!$G94="","",'Energy Data Input'!$G94)</f>
        <v/>
      </c>
      <c r="G94" s="102">
        <f>IF('Energy Data Input'!$H94="","",'Energy Data Input'!$H94)</f>
        <v/>
      </c>
      <c r="H94" s="102">
        <f>IF('Energy Data Input'!$J94="","",'Energy Data Input'!$J94)</f>
        <v/>
      </c>
      <c r="I94" s="142">
        <f>IF('Energy Data Input'!$N94="","",'Energy Data Input'!$N94)</f>
        <v/>
      </c>
      <c r="J94" s="142">
        <f>IF($B94="","",IFERROR(AVERAGEIFS('Energy Data Input'!$N$6:$N$205,'Energy Data Input'!$B$6:$B$205,"&gt;="&amp;$B94-7,'Energy Data Input'!$B$6:$B$205,"&lt;"&amp;$B94,'Energy Data Input'!$H$6:$H$205,$G94,'Energy Data Input'!$J$6:$J$205,$H94),$I94))</f>
        <v/>
      </c>
      <c r="K94" s="143">
        <f>IFERROR(($I94-$J94)/$J94,"")</f>
        <v/>
      </c>
      <c r="L94" s="102">
        <f>IF('Energy Data Input'!$V94="","",'Energy Data Input'!$V94)</f>
        <v/>
      </c>
      <c r="M94" s="102">
        <f>IF($H94="","",IFERROR(VLOOKUP($H94,'Base Settings'!$A$13:$K$19,5,FALSE),0.2))</f>
        <v/>
      </c>
      <c r="N94" s="102">
        <f>IF($B94="","",IF('Energy Data Input'!$L94="","Missing reading",IF($I94=0,"Stalled reading / possibly offline",IF($K94&gt;=IFERROR(VLOOKUP($H94,'Base Settings'!$A$13:$K$19,6,FALSE),0.5),"Severe spike",IF($K94&gt;=$M94,"Usage spike",IF($K94&lt;=-IFERROR(VLOOKUP($H94,'Base Settings'!$A$13:$K$19,7,FALSE),0.3),"Usage drop",IF($L94&gt;IFERROR(VLOOKUP($H94,'Base Settings'!$A$13:$K$19,8,FALSE),999999),"Area intensity overrun","Normal")))))))</f>
        <v/>
      </c>
      <c r="O94" s="102">
        <f>IF($N94="","",IF($N94="Normal","Normal",IF(OR($N94="Severe spike",$K94&gt;=IFERROR(VLOOKUP($H94,'Base Settings'!$A$13:$K$19,6,FALSE),0.5)),"Severe",IF(OR($N94="Usage spike",$N94="Usage drop"),"High","Medium"))))</f>
        <v/>
      </c>
      <c r="P94" s="144">
        <f>IF(OR($N94="",$N94="Normal"),0,ABS($I94-$J94)*'Energy Data Input'!$O94)</f>
        <v/>
      </c>
      <c r="Q94" s="102">
        <f>IF($N94="Normal","",IF($N94="Stalled reading / possibly offline","核查表计通信/Electricity池/网关/阀门Status",IF(AND($H94="Water",$N94&lt;&gt;"Normal"),"检查管网、阀门、卫生间、冷却塔及夜间最小流量",IF(AND($H94="Electricity",$N94&lt;&gt;"Normal"),"检查空调、照明、生产设备、PeakOff-peak时段与待机功耗",IF(AND($H94="Gas",$N94&lt;&gt;"Normal"),"检查燃Gas阀门、锅炉/厨房设备与泄漏风险","核查设备工况、排班、产量与计量数据")))))</f>
        <v/>
      </c>
      <c r="R94" s="102">
        <f>IF($H94="","",IFERROR(VLOOKUP($H94,'Base Settings'!$A$13:$K$19,11,FALSE),"Energy management owner"))</f>
        <v/>
      </c>
      <c r="S94" s="102">
        <f>IF($N94="","",IF($N94="Normal","No action needed","Open"))</f>
        <v/>
      </c>
      <c r="T94" s="141">
        <f>IF(OR($B94="",$N94="Normal"),"",WORKDAY($B94,IF($O94="Severe",1,IF($O94="High",2,3))))</f>
        <v/>
      </c>
      <c r="U94" s="102">
        <f>IF($T94="","",IF(AND($S94&lt;&gt;"Closed",TODAY()&gt;$T94),"Overdue","Not overdue"))</f>
        <v/>
      </c>
      <c r="V94" s="102" t="n"/>
      <c r="W94" s="141" t="n"/>
      <c r="X94" s="102" t="n"/>
    </row>
    <row r="95">
      <c r="A95" s="102">
        <f>IF('Energy Data Input'!$A95="","","AL-"&amp;TEXT(ROW()-5,"0000"))</f>
        <v/>
      </c>
      <c r="B95" s="141">
        <f>IF('Energy Data Input'!$B95="","",'Energy Data Input'!$B95)</f>
        <v/>
      </c>
      <c r="C95" s="102">
        <f>IF('Energy Data Input'!$C95="","",'Energy Data Input'!$C95)</f>
        <v/>
      </c>
      <c r="D95" s="102">
        <f>IF('Energy Data Input'!$D95="","",'Energy Data Input'!$D95)</f>
        <v/>
      </c>
      <c r="E95" s="102">
        <f>IF('Energy Data Input'!$E95="","",'Energy Data Input'!$E95)</f>
        <v/>
      </c>
      <c r="F95" s="102">
        <f>IF('Energy Data Input'!$G95="","",'Energy Data Input'!$G95)</f>
        <v/>
      </c>
      <c r="G95" s="102">
        <f>IF('Energy Data Input'!$H95="","",'Energy Data Input'!$H95)</f>
        <v/>
      </c>
      <c r="H95" s="102">
        <f>IF('Energy Data Input'!$J95="","",'Energy Data Input'!$J95)</f>
        <v/>
      </c>
      <c r="I95" s="142">
        <f>IF('Energy Data Input'!$N95="","",'Energy Data Input'!$N95)</f>
        <v/>
      </c>
      <c r="J95" s="142">
        <f>IF($B95="","",IFERROR(AVERAGEIFS('Energy Data Input'!$N$6:$N$205,'Energy Data Input'!$B$6:$B$205,"&gt;="&amp;$B95-7,'Energy Data Input'!$B$6:$B$205,"&lt;"&amp;$B95,'Energy Data Input'!$H$6:$H$205,$G95,'Energy Data Input'!$J$6:$J$205,$H95),$I95))</f>
        <v/>
      </c>
      <c r="K95" s="143">
        <f>IFERROR(($I95-$J95)/$J95,"")</f>
        <v/>
      </c>
      <c r="L95" s="102">
        <f>IF('Energy Data Input'!$V95="","",'Energy Data Input'!$V95)</f>
        <v/>
      </c>
      <c r="M95" s="102">
        <f>IF($H95="","",IFERROR(VLOOKUP($H95,'Base Settings'!$A$13:$K$19,5,FALSE),0.2))</f>
        <v/>
      </c>
      <c r="N95" s="102">
        <f>IF($B95="","",IF('Energy Data Input'!$L95="","Missing reading",IF($I95=0,"Stalled reading / possibly offline",IF($K95&gt;=IFERROR(VLOOKUP($H95,'Base Settings'!$A$13:$K$19,6,FALSE),0.5),"Severe spike",IF($K95&gt;=$M95,"Usage spike",IF($K95&lt;=-IFERROR(VLOOKUP($H95,'Base Settings'!$A$13:$K$19,7,FALSE),0.3),"Usage drop",IF($L95&gt;IFERROR(VLOOKUP($H95,'Base Settings'!$A$13:$K$19,8,FALSE),999999),"Area intensity overrun","Normal")))))))</f>
        <v/>
      </c>
      <c r="O95" s="102">
        <f>IF($N95="","",IF($N95="Normal","Normal",IF(OR($N95="Severe spike",$K95&gt;=IFERROR(VLOOKUP($H95,'Base Settings'!$A$13:$K$19,6,FALSE),0.5)),"Severe",IF(OR($N95="Usage spike",$N95="Usage drop"),"High","Medium"))))</f>
        <v/>
      </c>
      <c r="P95" s="144">
        <f>IF(OR($N95="",$N95="Normal"),0,ABS($I95-$J95)*'Energy Data Input'!$O95)</f>
        <v/>
      </c>
      <c r="Q95" s="102">
        <f>IF($N95="Normal","",IF($N95="Stalled reading / possibly offline","核查表计通信/Electricity池/网关/阀门Status",IF(AND($H95="Water",$N95&lt;&gt;"Normal"),"检查管网、阀门、卫生间、冷却塔及夜间最小流量",IF(AND($H95="Electricity",$N95&lt;&gt;"Normal"),"检查空调、照明、生产设备、PeakOff-peak时段与待机功耗",IF(AND($H95="Gas",$N95&lt;&gt;"Normal"),"检查燃Gas阀门、锅炉/厨房设备与泄漏风险","核查设备工况、排班、产量与计量数据")))))</f>
        <v/>
      </c>
      <c r="R95" s="102">
        <f>IF($H95="","",IFERROR(VLOOKUP($H95,'Base Settings'!$A$13:$K$19,11,FALSE),"Energy management owner"))</f>
        <v/>
      </c>
      <c r="S95" s="102">
        <f>IF($N95="","",IF($N95="Normal","No action needed","Open"))</f>
        <v/>
      </c>
      <c r="T95" s="141">
        <f>IF(OR($B95="",$N95="Normal"),"",WORKDAY($B95,IF($O95="Severe",1,IF($O95="High",2,3))))</f>
        <v/>
      </c>
      <c r="U95" s="102">
        <f>IF($T95="","",IF(AND($S95&lt;&gt;"Closed",TODAY()&gt;$T95),"Overdue","Not overdue"))</f>
        <v/>
      </c>
      <c r="V95" s="102" t="n"/>
      <c r="W95" s="141" t="n"/>
      <c r="X95" s="102" t="n"/>
    </row>
    <row r="96">
      <c r="A96" s="102">
        <f>IF('Energy Data Input'!$A96="","","AL-"&amp;TEXT(ROW()-5,"0000"))</f>
        <v/>
      </c>
      <c r="B96" s="141">
        <f>IF('Energy Data Input'!$B96="","",'Energy Data Input'!$B96)</f>
        <v/>
      </c>
      <c r="C96" s="102">
        <f>IF('Energy Data Input'!$C96="","",'Energy Data Input'!$C96)</f>
        <v/>
      </c>
      <c r="D96" s="102">
        <f>IF('Energy Data Input'!$D96="","",'Energy Data Input'!$D96)</f>
        <v/>
      </c>
      <c r="E96" s="102">
        <f>IF('Energy Data Input'!$E96="","",'Energy Data Input'!$E96)</f>
        <v/>
      </c>
      <c r="F96" s="102">
        <f>IF('Energy Data Input'!$G96="","",'Energy Data Input'!$G96)</f>
        <v/>
      </c>
      <c r="G96" s="102">
        <f>IF('Energy Data Input'!$H96="","",'Energy Data Input'!$H96)</f>
        <v/>
      </c>
      <c r="H96" s="102">
        <f>IF('Energy Data Input'!$J96="","",'Energy Data Input'!$J96)</f>
        <v/>
      </c>
      <c r="I96" s="142">
        <f>IF('Energy Data Input'!$N96="","",'Energy Data Input'!$N96)</f>
        <v/>
      </c>
      <c r="J96" s="142">
        <f>IF($B96="","",IFERROR(AVERAGEIFS('Energy Data Input'!$N$6:$N$205,'Energy Data Input'!$B$6:$B$205,"&gt;="&amp;$B96-7,'Energy Data Input'!$B$6:$B$205,"&lt;"&amp;$B96,'Energy Data Input'!$H$6:$H$205,$G96,'Energy Data Input'!$J$6:$J$205,$H96),$I96))</f>
        <v/>
      </c>
      <c r="K96" s="143">
        <f>IFERROR(($I96-$J96)/$J96,"")</f>
        <v/>
      </c>
      <c r="L96" s="102">
        <f>IF('Energy Data Input'!$V96="","",'Energy Data Input'!$V96)</f>
        <v/>
      </c>
      <c r="M96" s="102">
        <f>IF($H96="","",IFERROR(VLOOKUP($H96,'Base Settings'!$A$13:$K$19,5,FALSE),0.2))</f>
        <v/>
      </c>
      <c r="N96" s="102">
        <f>IF($B96="","",IF('Energy Data Input'!$L96="","Missing reading",IF($I96=0,"Stalled reading / possibly offline",IF($K96&gt;=IFERROR(VLOOKUP($H96,'Base Settings'!$A$13:$K$19,6,FALSE),0.5),"Severe spike",IF($K96&gt;=$M96,"Usage spike",IF($K96&lt;=-IFERROR(VLOOKUP($H96,'Base Settings'!$A$13:$K$19,7,FALSE),0.3),"Usage drop",IF($L96&gt;IFERROR(VLOOKUP($H96,'Base Settings'!$A$13:$K$19,8,FALSE),999999),"Area intensity overrun","Normal")))))))</f>
        <v/>
      </c>
      <c r="O96" s="102">
        <f>IF($N96="","",IF($N96="Normal","Normal",IF(OR($N96="Severe spike",$K96&gt;=IFERROR(VLOOKUP($H96,'Base Settings'!$A$13:$K$19,6,FALSE),0.5)),"Severe",IF(OR($N96="Usage spike",$N96="Usage drop"),"High","Medium"))))</f>
        <v/>
      </c>
      <c r="P96" s="144">
        <f>IF(OR($N96="",$N96="Normal"),0,ABS($I96-$J96)*'Energy Data Input'!$O96)</f>
        <v/>
      </c>
      <c r="Q96" s="102">
        <f>IF($N96="Normal","",IF($N96="Stalled reading / possibly offline","核查表计通信/Electricity池/网关/阀门Status",IF(AND($H96="Water",$N96&lt;&gt;"Normal"),"检查管网、阀门、卫生间、冷却塔及夜间最小流量",IF(AND($H96="Electricity",$N96&lt;&gt;"Normal"),"检查空调、照明、生产设备、PeakOff-peak时段与待机功耗",IF(AND($H96="Gas",$N96&lt;&gt;"Normal"),"检查燃Gas阀门、锅炉/厨房设备与泄漏风险","核查设备工况、排班、产量与计量数据")))))</f>
        <v/>
      </c>
      <c r="R96" s="102">
        <f>IF($H96="","",IFERROR(VLOOKUP($H96,'Base Settings'!$A$13:$K$19,11,FALSE),"Energy management owner"))</f>
        <v/>
      </c>
      <c r="S96" s="102">
        <f>IF($N96="","",IF($N96="Normal","No action needed","Open"))</f>
        <v/>
      </c>
      <c r="T96" s="141">
        <f>IF(OR($B96="",$N96="Normal"),"",WORKDAY($B96,IF($O96="Severe",1,IF($O96="High",2,3))))</f>
        <v/>
      </c>
      <c r="U96" s="102">
        <f>IF($T96="","",IF(AND($S96&lt;&gt;"Closed",TODAY()&gt;$T96),"Overdue","Not overdue"))</f>
        <v/>
      </c>
      <c r="V96" s="102" t="n"/>
      <c r="W96" s="141" t="n"/>
      <c r="X96" s="102" t="n"/>
    </row>
    <row r="97">
      <c r="A97" s="102">
        <f>IF('Energy Data Input'!$A97="","","AL-"&amp;TEXT(ROW()-5,"0000"))</f>
        <v/>
      </c>
      <c r="B97" s="141">
        <f>IF('Energy Data Input'!$B97="","",'Energy Data Input'!$B97)</f>
        <v/>
      </c>
      <c r="C97" s="102">
        <f>IF('Energy Data Input'!$C97="","",'Energy Data Input'!$C97)</f>
        <v/>
      </c>
      <c r="D97" s="102">
        <f>IF('Energy Data Input'!$D97="","",'Energy Data Input'!$D97)</f>
        <v/>
      </c>
      <c r="E97" s="102">
        <f>IF('Energy Data Input'!$E97="","",'Energy Data Input'!$E97)</f>
        <v/>
      </c>
      <c r="F97" s="102">
        <f>IF('Energy Data Input'!$G97="","",'Energy Data Input'!$G97)</f>
        <v/>
      </c>
      <c r="G97" s="102">
        <f>IF('Energy Data Input'!$H97="","",'Energy Data Input'!$H97)</f>
        <v/>
      </c>
      <c r="H97" s="102">
        <f>IF('Energy Data Input'!$J97="","",'Energy Data Input'!$J97)</f>
        <v/>
      </c>
      <c r="I97" s="142">
        <f>IF('Energy Data Input'!$N97="","",'Energy Data Input'!$N97)</f>
        <v/>
      </c>
      <c r="J97" s="142">
        <f>IF($B97="","",IFERROR(AVERAGEIFS('Energy Data Input'!$N$6:$N$205,'Energy Data Input'!$B$6:$B$205,"&gt;="&amp;$B97-7,'Energy Data Input'!$B$6:$B$205,"&lt;"&amp;$B97,'Energy Data Input'!$H$6:$H$205,$G97,'Energy Data Input'!$J$6:$J$205,$H97),$I97))</f>
        <v/>
      </c>
      <c r="K97" s="143">
        <f>IFERROR(($I97-$J97)/$J97,"")</f>
        <v/>
      </c>
      <c r="L97" s="102">
        <f>IF('Energy Data Input'!$V97="","",'Energy Data Input'!$V97)</f>
        <v/>
      </c>
      <c r="M97" s="102">
        <f>IF($H97="","",IFERROR(VLOOKUP($H97,'Base Settings'!$A$13:$K$19,5,FALSE),0.2))</f>
        <v/>
      </c>
      <c r="N97" s="102">
        <f>IF($B97="","",IF('Energy Data Input'!$L97="","Missing reading",IF($I97=0,"Stalled reading / possibly offline",IF($K97&gt;=IFERROR(VLOOKUP($H97,'Base Settings'!$A$13:$K$19,6,FALSE),0.5),"Severe spike",IF($K97&gt;=$M97,"Usage spike",IF($K97&lt;=-IFERROR(VLOOKUP($H97,'Base Settings'!$A$13:$K$19,7,FALSE),0.3),"Usage drop",IF($L97&gt;IFERROR(VLOOKUP($H97,'Base Settings'!$A$13:$K$19,8,FALSE),999999),"Area intensity overrun","Normal")))))))</f>
        <v/>
      </c>
      <c r="O97" s="102">
        <f>IF($N97="","",IF($N97="Normal","Normal",IF(OR($N97="Severe spike",$K97&gt;=IFERROR(VLOOKUP($H97,'Base Settings'!$A$13:$K$19,6,FALSE),0.5)),"Severe",IF(OR($N97="Usage spike",$N97="Usage drop"),"High","Medium"))))</f>
        <v/>
      </c>
      <c r="P97" s="144">
        <f>IF(OR($N97="",$N97="Normal"),0,ABS($I97-$J97)*'Energy Data Input'!$O97)</f>
        <v/>
      </c>
      <c r="Q97" s="102">
        <f>IF($N97="Normal","",IF($N97="Stalled reading / possibly offline","核查表计通信/Electricity池/网关/阀门Status",IF(AND($H97="Water",$N97&lt;&gt;"Normal"),"检查管网、阀门、卫生间、冷却塔及夜间最小流量",IF(AND($H97="Electricity",$N97&lt;&gt;"Normal"),"检查空调、照明、生产设备、PeakOff-peak时段与待机功耗",IF(AND($H97="Gas",$N97&lt;&gt;"Normal"),"检查燃Gas阀门、锅炉/厨房设备与泄漏风险","核查设备工况、排班、产量与计量数据")))))</f>
        <v/>
      </c>
      <c r="R97" s="102">
        <f>IF($H97="","",IFERROR(VLOOKUP($H97,'Base Settings'!$A$13:$K$19,11,FALSE),"Energy management owner"))</f>
        <v/>
      </c>
      <c r="S97" s="102">
        <f>IF($N97="","",IF($N97="Normal","No action needed","Open"))</f>
        <v/>
      </c>
      <c r="T97" s="141">
        <f>IF(OR($B97="",$N97="Normal"),"",WORKDAY($B97,IF($O97="Severe",1,IF($O97="High",2,3))))</f>
        <v/>
      </c>
      <c r="U97" s="102">
        <f>IF($T97="","",IF(AND($S97&lt;&gt;"Closed",TODAY()&gt;$T97),"Overdue","Not overdue"))</f>
        <v/>
      </c>
      <c r="V97" s="102" t="n"/>
      <c r="W97" s="141" t="n"/>
      <c r="X97" s="102" t="n"/>
    </row>
    <row r="98">
      <c r="A98" s="102">
        <f>IF('Energy Data Input'!$A98="","","AL-"&amp;TEXT(ROW()-5,"0000"))</f>
        <v/>
      </c>
      <c r="B98" s="141">
        <f>IF('Energy Data Input'!$B98="","",'Energy Data Input'!$B98)</f>
        <v/>
      </c>
      <c r="C98" s="102">
        <f>IF('Energy Data Input'!$C98="","",'Energy Data Input'!$C98)</f>
        <v/>
      </c>
      <c r="D98" s="102">
        <f>IF('Energy Data Input'!$D98="","",'Energy Data Input'!$D98)</f>
        <v/>
      </c>
      <c r="E98" s="102">
        <f>IF('Energy Data Input'!$E98="","",'Energy Data Input'!$E98)</f>
        <v/>
      </c>
      <c r="F98" s="102">
        <f>IF('Energy Data Input'!$G98="","",'Energy Data Input'!$G98)</f>
        <v/>
      </c>
      <c r="G98" s="102">
        <f>IF('Energy Data Input'!$H98="","",'Energy Data Input'!$H98)</f>
        <v/>
      </c>
      <c r="H98" s="102">
        <f>IF('Energy Data Input'!$J98="","",'Energy Data Input'!$J98)</f>
        <v/>
      </c>
      <c r="I98" s="142">
        <f>IF('Energy Data Input'!$N98="","",'Energy Data Input'!$N98)</f>
        <v/>
      </c>
      <c r="J98" s="142">
        <f>IF($B98="","",IFERROR(AVERAGEIFS('Energy Data Input'!$N$6:$N$205,'Energy Data Input'!$B$6:$B$205,"&gt;="&amp;$B98-7,'Energy Data Input'!$B$6:$B$205,"&lt;"&amp;$B98,'Energy Data Input'!$H$6:$H$205,$G98,'Energy Data Input'!$J$6:$J$205,$H98),$I98))</f>
        <v/>
      </c>
      <c r="K98" s="143">
        <f>IFERROR(($I98-$J98)/$J98,"")</f>
        <v/>
      </c>
      <c r="L98" s="102">
        <f>IF('Energy Data Input'!$V98="","",'Energy Data Input'!$V98)</f>
        <v/>
      </c>
      <c r="M98" s="102">
        <f>IF($H98="","",IFERROR(VLOOKUP($H98,'Base Settings'!$A$13:$K$19,5,FALSE),0.2))</f>
        <v/>
      </c>
      <c r="N98" s="102">
        <f>IF($B98="","",IF('Energy Data Input'!$L98="","Missing reading",IF($I98=0,"Stalled reading / possibly offline",IF($K98&gt;=IFERROR(VLOOKUP($H98,'Base Settings'!$A$13:$K$19,6,FALSE),0.5),"Severe spike",IF($K98&gt;=$M98,"Usage spike",IF($K98&lt;=-IFERROR(VLOOKUP($H98,'Base Settings'!$A$13:$K$19,7,FALSE),0.3),"Usage drop",IF($L98&gt;IFERROR(VLOOKUP($H98,'Base Settings'!$A$13:$K$19,8,FALSE),999999),"Area intensity overrun","Normal")))))))</f>
        <v/>
      </c>
      <c r="O98" s="102">
        <f>IF($N98="","",IF($N98="Normal","Normal",IF(OR($N98="Severe spike",$K98&gt;=IFERROR(VLOOKUP($H98,'Base Settings'!$A$13:$K$19,6,FALSE),0.5)),"Severe",IF(OR($N98="Usage spike",$N98="Usage drop"),"High","Medium"))))</f>
        <v/>
      </c>
      <c r="P98" s="144">
        <f>IF(OR($N98="",$N98="Normal"),0,ABS($I98-$J98)*'Energy Data Input'!$O98)</f>
        <v/>
      </c>
      <c r="Q98" s="102">
        <f>IF($N98="Normal","",IF($N98="Stalled reading / possibly offline","核查表计通信/Electricity池/网关/阀门Status",IF(AND($H98="Water",$N98&lt;&gt;"Normal"),"检查管网、阀门、卫生间、冷却塔及夜间最小流量",IF(AND($H98="Electricity",$N98&lt;&gt;"Normal"),"检查空调、照明、生产设备、PeakOff-peak时段与待机功耗",IF(AND($H98="Gas",$N98&lt;&gt;"Normal"),"检查燃Gas阀门、锅炉/厨房设备与泄漏风险","核查设备工况、排班、产量与计量数据")))))</f>
        <v/>
      </c>
      <c r="R98" s="102">
        <f>IF($H98="","",IFERROR(VLOOKUP($H98,'Base Settings'!$A$13:$K$19,11,FALSE),"Energy management owner"))</f>
        <v/>
      </c>
      <c r="S98" s="102">
        <f>IF($N98="","",IF($N98="Normal","No action needed","Open"))</f>
        <v/>
      </c>
      <c r="T98" s="141">
        <f>IF(OR($B98="",$N98="Normal"),"",WORKDAY($B98,IF($O98="Severe",1,IF($O98="High",2,3))))</f>
        <v/>
      </c>
      <c r="U98" s="102">
        <f>IF($T98="","",IF(AND($S98&lt;&gt;"Closed",TODAY()&gt;$T98),"Overdue","Not overdue"))</f>
        <v/>
      </c>
      <c r="V98" s="102" t="n"/>
      <c r="W98" s="141" t="n"/>
      <c r="X98" s="102" t="n"/>
    </row>
    <row r="99">
      <c r="A99" s="102">
        <f>IF('Energy Data Input'!$A99="","","AL-"&amp;TEXT(ROW()-5,"0000"))</f>
        <v/>
      </c>
      <c r="B99" s="141">
        <f>IF('Energy Data Input'!$B99="","",'Energy Data Input'!$B99)</f>
        <v/>
      </c>
      <c r="C99" s="102">
        <f>IF('Energy Data Input'!$C99="","",'Energy Data Input'!$C99)</f>
        <v/>
      </c>
      <c r="D99" s="102">
        <f>IF('Energy Data Input'!$D99="","",'Energy Data Input'!$D99)</f>
        <v/>
      </c>
      <c r="E99" s="102">
        <f>IF('Energy Data Input'!$E99="","",'Energy Data Input'!$E99)</f>
        <v/>
      </c>
      <c r="F99" s="102">
        <f>IF('Energy Data Input'!$G99="","",'Energy Data Input'!$G99)</f>
        <v/>
      </c>
      <c r="G99" s="102">
        <f>IF('Energy Data Input'!$H99="","",'Energy Data Input'!$H99)</f>
        <v/>
      </c>
      <c r="H99" s="102">
        <f>IF('Energy Data Input'!$J99="","",'Energy Data Input'!$J99)</f>
        <v/>
      </c>
      <c r="I99" s="142">
        <f>IF('Energy Data Input'!$N99="","",'Energy Data Input'!$N99)</f>
        <v/>
      </c>
      <c r="J99" s="142">
        <f>IF($B99="","",IFERROR(AVERAGEIFS('Energy Data Input'!$N$6:$N$205,'Energy Data Input'!$B$6:$B$205,"&gt;="&amp;$B99-7,'Energy Data Input'!$B$6:$B$205,"&lt;"&amp;$B99,'Energy Data Input'!$H$6:$H$205,$G99,'Energy Data Input'!$J$6:$J$205,$H99),$I99))</f>
        <v/>
      </c>
      <c r="K99" s="143">
        <f>IFERROR(($I99-$J99)/$J99,"")</f>
        <v/>
      </c>
      <c r="L99" s="102">
        <f>IF('Energy Data Input'!$V99="","",'Energy Data Input'!$V99)</f>
        <v/>
      </c>
      <c r="M99" s="102">
        <f>IF($H99="","",IFERROR(VLOOKUP($H99,'Base Settings'!$A$13:$K$19,5,FALSE),0.2))</f>
        <v/>
      </c>
      <c r="N99" s="102">
        <f>IF($B99="","",IF('Energy Data Input'!$L99="","Missing reading",IF($I99=0,"Stalled reading / possibly offline",IF($K99&gt;=IFERROR(VLOOKUP($H99,'Base Settings'!$A$13:$K$19,6,FALSE),0.5),"Severe spike",IF($K99&gt;=$M99,"Usage spike",IF($K99&lt;=-IFERROR(VLOOKUP($H99,'Base Settings'!$A$13:$K$19,7,FALSE),0.3),"Usage drop",IF($L99&gt;IFERROR(VLOOKUP($H99,'Base Settings'!$A$13:$K$19,8,FALSE),999999),"Area intensity overrun","Normal")))))))</f>
        <v/>
      </c>
      <c r="O99" s="102">
        <f>IF($N99="","",IF($N99="Normal","Normal",IF(OR($N99="Severe spike",$K99&gt;=IFERROR(VLOOKUP($H99,'Base Settings'!$A$13:$K$19,6,FALSE),0.5)),"Severe",IF(OR($N99="Usage spike",$N99="Usage drop"),"High","Medium"))))</f>
        <v/>
      </c>
      <c r="P99" s="144">
        <f>IF(OR($N99="",$N99="Normal"),0,ABS($I99-$J99)*'Energy Data Input'!$O99)</f>
        <v/>
      </c>
      <c r="Q99" s="102">
        <f>IF($N99="Normal","",IF($N99="Stalled reading / possibly offline","核查表计通信/Electricity池/网关/阀门Status",IF(AND($H99="Water",$N99&lt;&gt;"Normal"),"检查管网、阀门、卫生间、冷却塔及夜间最小流量",IF(AND($H99="Electricity",$N99&lt;&gt;"Normal"),"检查空调、照明、生产设备、PeakOff-peak时段与待机功耗",IF(AND($H99="Gas",$N99&lt;&gt;"Normal"),"检查燃Gas阀门、锅炉/厨房设备与泄漏风险","核查设备工况、排班、产量与计量数据")))))</f>
        <v/>
      </c>
      <c r="R99" s="102">
        <f>IF($H99="","",IFERROR(VLOOKUP($H99,'Base Settings'!$A$13:$K$19,11,FALSE),"Energy management owner"))</f>
        <v/>
      </c>
      <c r="S99" s="102">
        <f>IF($N99="","",IF($N99="Normal","No action needed","Open"))</f>
        <v/>
      </c>
      <c r="T99" s="141">
        <f>IF(OR($B99="",$N99="Normal"),"",WORKDAY($B99,IF($O99="Severe",1,IF($O99="High",2,3))))</f>
        <v/>
      </c>
      <c r="U99" s="102">
        <f>IF($T99="","",IF(AND($S99&lt;&gt;"Closed",TODAY()&gt;$T99),"Overdue","Not overdue"))</f>
        <v/>
      </c>
      <c r="V99" s="102" t="n"/>
      <c r="W99" s="141" t="n"/>
      <c r="X99" s="102" t="n"/>
    </row>
    <row r="100">
      <c r="A100" s="102">
        <f>IF('Energy Data Input'!$A100="","","AL-"&amp;TEXT(ROW()-5,"0000"))</f>
        <v/>
      </c>
      <c r="B100" s="141">
        <f>IF('Energy Data Input'!$B100="","",'Energy Data Input'!$B100)</f>
        <v/>
      </c>
      <c r="C100" s="102">
        <f>IF('Energy Data Input'!$C100="","",'Energy Data Input'!$C100)</f>
        <v/>
      </c>
      <c r="D100" s="102">
        <f>IF('Energy Data Input'!$D100="","",'Energy Data Input'!$D100)</f>
        <v/>
      </c>
      <c r="E100" s="102">
        <f>IF('Energy Data Input'!$E100="","",'Energy Data Input'!$E100)</f>
        <v/>
      </c>
      <c r="F100" s="102">
        <f>IF('Energy Data Input'!$G100="","",'Energy Data Input'!$G100)</f>
        <v/>
      </c>
      <c r="G100" s="102">
        <f>IF('Energy Data Input'!$H100="","",'Energy Data Input'!$H100)</f>
        <v/>
      </c>
      <c r="H100" s="102">
        <f>IF('Energy Data Input'!$J100="","",'Energy Data Input'!$J100)</f>
        <v/>
      </c>
      <c r="I100" s="142">
        <f>IF('Energy Data Input'!$N100="","",'Energy Data Input'!$N100)</f>
        <v/>
      </c>
      <c r="J100" s="142">
        <f>IF($B100="","",IFERROR(AVERAGEIFS('Energy Data Input'!$N$6:$N$205,'Energy Data Input'!$B$6:$B$205,"&gt;="&amp;$B100-7,'Energy Data Input'!$B$6:$B$205,"&lt;"&amp;$B100,'Energy Data Input'!$H$6:$H$205,$G100,'Energy Data Input'!$J$6:$J$205,$H100),$I100))</f>
        <v/>
      </c>
      <c r="K100" s="143">
        <f>IFERROR(($I100-$J100)/$J100,"")</f>
        <v/>
      </c>
      <c r="L100" s="102">
        <f>IF('Energy Data Input'!$V100="","",'Energy Data Input'!$V100)</f>
        <v/>
      </c>
      <c r="M100" s="102">
        <f>IF($H100="","",IFERROR(VLOOKUP($H100,'Base Settings'!$A$13:$K$19,5,FALSE),0.2))</f>
        <v/>
      </c>
      <c r="N100" s="102">
        <f>IF($B100="","",IF('Energy Data Input'!$L100="","Missing reading",IF($I100=0,"Stalled reading / possibly offline",IF($K100&gt;=IFERROR(VLOOKUP($H100,'Base Settings'!$A$13:$K$19,6,FALSE),0.5),"Severe spike",IF($K100&gt;=$M100,"Usage spike",IF($K100&lt;=-IFERROR(VLOOKUP($H100,'Base Settings'!$A$13:$K$19,7,FALSE),0.3),"Usage drop",IF($L100&gt;IFERROR(VLOOKUP($H100,'Base Settings'!$A$13:$K$19,8,FALSE),999999),"Area intensity overrun","Normal")))))))</f>
        <v/>
      </c>
      <c r="O100" s="102">
        <f>IF($N100="","",IF($N100="Normal","Normal",IF(OR($N100="Severe spike",$K100&gt;=IFERROR(VLOOKUP($H100,'Base Settings'!$A$13:$K$19,6,FALSE),0.5)),"Severe",IF(OR($N100="Usage spike",$N100="Usage drop"),"High","Medium"))))</f>
        <v/>
      </c>
      <c r="P100" s="144">
        <f>IF(OR($N100="",$N100="Normal"),0,ABS($I100-$J100)*'Energy Data Input'!$O100)</f>
        <v/>
      </c>
      <c r="Q100" s="102">
        <f>IF($N100="Normal","",IF($N100="Stalled reading / possibly offline","核查表计通信/Electricity池/网关/阀门Status",IF(AND($H100="Water",$N100&lt;&gt;"Normal"),"检查管网、阀门、卫生间、冷却塔及夜间最小流量",IF(AND($H100="Electricity",$N100&lt;&gt;"Normal"),"检查空调、照明、生产设备、PeakOff-peak时段与待机功耗",IF(AND($H100="Gas",$N100&lt;&gt;"Normal"),"检查燃Gas阀门、锅炉/厨房设备与泄漏风险","核查设备工况、排班、产量与计量数据")))))</f>
        <v/>
      </c>
      <c r="R100" s="102">
        <f>IF($H100="","",IFERROR(VLOOKUP($H100,'Base Settings'!$A$13:$K$19,11,FALSE),"Energy management owner"))</f>
        <v/>
      </c>
      <c r="S100" s="102">
        <f>IF($N100="","",IF($N100="Normal","No action needed","Open"))</f>
        <v/>
      </c>
      <c r="T100" s="141">
        <f>IF(OR($B100="",$N100="Normal"),"",WORKDAY($B100,IF($O100="Severe",1,IF($O100="High",2,3))))</f>
        <v/>
      </c>
      <c r="U100" s="102">
        <f>IF($T100="","",IF(AND($S100&lt;&gt;"Closed",TODAY()&gt;$T100),"Overdue","Not overdue"))</f>
        <v/>
      </c>
      <c r="V100" s="102" t="n"/>
      <c r="W100" s="141" t="n"/>
      <c r="X100" s="102" t="n"/>
    </row>
    <row r="101">
      <c r="A101" s="102">
        <f>IF('Energy Data Input'!$A101="","","AL-"&amp;TEXT(ROW()-5,"0000"))</f>
        <v/>
      </c>
      <c r="B101" s="141">
        <f>IF('Energy Data Input'!$B101="","",'Energy Data Input'!$B101)</f>
        <v/>
      </c>
      <c r="C101" s="102">
        <f>IF('Energy Data Input'!$C101="","",'Energy Data Input'!$C101)</f>
        <v/>
      </c>
      <c r="D101" s="102">
        <f>IF('Energy Data Input'!$D101="","",'Energy Data Input'!$D101)</f>
        <v/>
      </c>
      <c r="E101" s="102">
        <f>IF('Energy Data Input'!$E101="","",'Energy Data Input'!$E101)</f>
        <v/>
      </c>
      <c r="F101" s="102">
        <f>IF('Energy Data Input'!$G101="","",'Energy Data Input'!$G101)</f>
        <v/>
      </c>
      <c r="G101" s="102">
        <f>IF('Energy Data Input'!$H101="","",'Energy Data Input'!$H101)</f>
        <v/>
      </c>
      <c r="H101" s="102">
        <f>IF('Energy Data Input'!$J101="","",'Energy Data Input'!$J101)</f>
        <v/>
      </c>
      <c r="I101" s="142">
        <f>IF('Energy Data Input'!$N101="","",'Energy Data Input'!$N101)</f>
        <v/>
      </c>
      <c r="J101" s="142">
        <f>IF($B101="","",IFERROR(AVERAGEIFS('Energy Data Input'!$N$6:$N$205,'Energy Data Input'!$B$6:$B$205,"&gt;="&amp;$B101-7,'Energy Data Input'!$B$6:$B$205,"&lt;"&amp;$B101,'Energy Data Input'!$H$6:$H$205,$G101,'Energy Data Input'!$J$6:$J$205,$H101),$I101))</f>
        <v/>
      </c>
      <c r="K101" s="143">
        <f>IFERROR(($I101-$J101)/$J101,"")</f>
        <v/>
      </c>
      <c r="L101" s="102">
        <f>IF('Energy Data Input'!$V101="","",'Energy Data Input'!$V101)</f>
        <v/>
      </c>
      <c r="M101" s="102">
        <f>IF($H101="","",IFERROR(VLOOKUP($H101,'Base Settings'!$A$13:$K$19,5,FALSE),0.2))</f>
        <v/>
      </c>
      <c r="N101" s="102">
        <f>IF($B101="","",IF('Energy Data Input'!$L101="","Missing reading",IF($I101=0,"Stalled reading / possibly offline",IF($K101&gt;=IFERROR(VLOOKUP($H101,'Base Settings'!$A$13:$K$19,6,FALSE),0.5),"Severe spike",IF($K101&gt;=$M101,"Usage spike",IF($K101&lt;=-IFERROR(VLOOKUP($H101,'Base Settings'!$A$13:$K$19,7,FALSE),0.3),"Usage drop",IF($L101&gt;IFERROR(VLOOKUP($H101,'Base Settings'!$A$13:$K$19,8,FALSE),999999),"Area intensity overrun","Normal")))))))</f>
        <v/>
      </c>
      <c r="O101" s="102">
        <f>IF($N101="","",IF($N101="Normal","Normal",IF(OR($N101="Severe spike",$K101&gt;=IFERROR(VLOOKUP($H101,'Base Settings'!$A$13:$K$19,6,FALSE),0.5)),"Severe",IF(OR($N101="Usage spike",$N101="Usage drop"),"High","Medium"))))</f>
        <v/>
      </c>
      <c r="P101" s="144">
        <f>IF(OR($N101="",$N101="Normal"),0,ABS($I101-$J101)*'Energy Data Input'!$O101)</f>
        <v/>
      </c>
      <c r="Q101" s="102">
        <f>IF($N101="Normal","",IF($N101="Stalled reading / possibly offline","核查表计通信/Electricity池/网关/阀门Status",IF(AND($H101="Water",$N101&lt;&gt;"Normal"),"检查管网、阀门、卫生间、冷却塔及夜间最小流量",IF(AND($H101="Electricity",$N101&lt;&gt;"Normal"),"检查空调、照明、生产设备、PeakOff-peak时段与待机功耗",IF(AND($H101="Gas",$N101&lt;&gt;"Normal"),"检查燃Gas阀门、锅炉/厨房设备与泄漏风险","核查设备工况、排班、产量与计量数据")))))</f>
        <v/>
      </c>
      <c r="R101" s="102">
        <f>IF($H101="","",IFERROR(VLOOKUP($H101,'Base Settings'!$A$13:$K$19,11,FALSE),"Energy management owner"))</f>
        <v/>
      </c>
      <c r="S101" s="102">
        <f>IF($N101="","",IF($N101="Normal","No action needed","Open"))</f>
        <v/>
      </c>
      <c r="T101" s="141">
        <f>IF(OR($B101="",$N101="Normal"),"",WORKDAY($B101,IF($O101="Severe",1,IF($O101="High",2,3))))</f>
        <v/>
      </c>
      <c r="U101" s="102">
        <f>IF($T101="","",IF(AND($S101&lt;&gt;"Closed",TODAY()&gt;$T101),"Overdue","Not overdue"))</f>
        <v/>
      </c>
      <c r="V101" s="102" t="n"/>
      <c r="W101" s="141" t="n"/>
      <c r="X101" s="102" t="n"/>
    </row>
    <row r="102">
      <c r="A102" s="102">
        <f>IF('Energy Data Input'!$A102="","","AL-"&amp;TEXT(ROW()-5,"0000"))</f>
        <v/>
      </c>
      <c r="B102" s="141">
        <f>IF('Energy Data Input'!$B102="","",'Energy Data Input'!$B102)</f>
        <v/>
      </c>
      <c r="C102" s="102">
        <f>IF('Energy Data Input'!$C102="","",'Energy Data Input'!$C102)</f>
        <v/>
      </c>
      <c r="D102" s="102">
        <f>IF('Energy Data Input'!$D102="","",'Energy Data Input'!$D102)</f>
        <v/>
      </c>
      <c r="E102" s="102">
        <f>IF('Energy Data Input'!$E102="","",'Energy Data Input'!$E102)</f>
        <v/>
      </c>
      <c r="F102" s="102">
        <f>IF('Energy Data Input'!$G102="","",'Energy Data Input'!$G102)</f>
        <v/>
      </c>
      <c r="G102" s="102">
        <f>IF('Energy Data Input'!$H102="","",'Energy Data Input'!$H102)</f>
        <v/>
      </c>
      <c r="H102" s="102">
        <f>IF('Energy Data Input'!$J102="","",'Energy Data Input'!$J102)</f>
        <v/>
      </c>
      <c r="I102" s="142">
        <f>IF('Energy Data Input'!$N102="","",'Energy Data Input'!$N102)</f>
        <v/>
      </c>
      <c r="J102" s="142">
        <f>IF($B102="","",IFERROR(AVERAGEIFS('Energy Data Input'!$N$6:$N$205,'Energy Data Input'!$B$6:$B$205,"&gt;="&amp;$B102-7,'Energy Data Input'!$B$6:$B$205,"&lt;"&amp;$B102,'Energy Data Input'!$H$6:$H$205,$G102,'Energy Data Input'!$J$6:$J$205,$H102),$I102))</f>
        <v/>
      </c>
      <c r="K102" s="143">
        <f>IFERROR(($I102-$J102)/$J102,"")</f>
        <v/>
      </c>
      <c r="L102" s="102">
        <f>IF('Energy Data Input'!$V102="","",'Energy Data Input'!$V102)</f>
        <v/>
      </c>
      <c r="M102" s="102">
        <f>IF($H102="","",IFERROR(VLOOKUP($H102,'Base Settings'!$A$13:$K$19,5,FALSE),0.2))</f>
        <v/>
      </c>
      <c r="N102" s="102">
        <f>IF($B102="","",IF('Energy Data Input'!$L102="","Missing reading",IF($I102=0,"Stalled reading / possibly offline",IF($K102&gt;=IFERROR(VLOOKUP($H102,'Base Settings'!$A$13:$K$19,6,FALSE),0.5),"Severe spike",IF($K102&gt;=$M102,"Usage spike",IF($K102&lt;=-IFERROR(VLOOKUP($H102,'Base Settings'!$A$13:$K$19,7,FALSE),0.3),"Usage drop",IF($L102&gt;IFERROR(VLOOKUP($H102,'Base Settings'!$A$13:$K$19,8,FALSE),999999),"Area intensity overrun","Normal")))))))</f>
        <v/>
      </c>
      <c r="O102" s="102">
        <f>IF($N102="","",IF($N102="Normal","Normal",IF(OR($N102="Severe spike",$K102&gt;=IFERROR(VLOOKUP($H102,'Base Settings'!$A$13:$K$19,6,FALSE),0.5)),"Severe",IF(OR($N102="Usage spike",$N102="Usage drop"),"High","Medium"))))</f>
        <v/>
      </c>
      <c r="P102" s="144">
        <f>IF(OR($N102="",$N102="Normal"),0,ABS($I102-$J102)*'Energy Data Input'!$O102)</f>
        <v/>
      </c>
      <c r="Q102" s="102">
        <f>IF($N102="Normal","",IF($N102="Stalled reading / possibly offline","核查表计通信/Electricity池/网关/阀门Status",IF(AND($H102="Water",$N102&lt;&gt;"Normal"),"检查管网、阀门、卫生间、冷却塔及夜间最小流量",IF(AND($H102="Electricity",$N102&lt;&gt;"Normal"),"检查空调、照明、生产设备、PeakOff-peak时段与待机功耗",IF(AND($H102="Gas",$N102&lt;&gt;"Normal"),"检查燃Gas阀门、锅炉/厨房设备与泄漏风险","核查设备工况、排班、产量与计量数据")))))</f>
        <v/>
      </c>
      <c r="R102" s="102">
        <f>IF($H102="","",IFERROR(VLOOKUP($H102,'Base Settings'!$A$13:$K$19,11,FALSE),"Energy management owner"))</f>
        <v/>
      </c>
      <c r="S102" s="102">
        <f>IF($N102="","",IF($N102="Normal","No action needed","Open"))</f>
        <v/>
      </c>
      <c r="T102" s="141">
        <f>IF(OR($B102="",$N102="Normal"),"",WORKDAY($B102,IF($O102="Severe",1,IF($O102="High",2,3))))</f>
        <v/>
      </c>
      <c r="U102" s="102">
        <f>IF($T102="","",IF(AND($S102&lt;&gt;"Closed",TODAY()&gt;$T102),"Overdue","Not overdue"))</f>
        <v/>
      </c>
      <c r="V102" s="102" t="n"/>
      <c r="W102" s="141" t="n"/>
      <c r="X102" s="102" t="n"/>
    </row>
    <row r="103">
      <c r="A103" s="102">
        <f>IF('Energy Data Input'!$A103="","","AL-"&amp;TEXT(ROW()-5,"0000"))</f>
        <v/>
      </c>
      <c r="B103" s="141">
        <f>IF('Energy Data Input'!$B103="","",'Energy Data Input'!$B103)</f>
        <v/>
      </c>
      <c r="C103" s="102">
        <f>IF('Energy Data Input'!$C103="","",'Energy Data Input'!$C103)</f>
        <v/>
      </c>
      <c r="D103" s="102">
        <f>IF('Energy Data Input'!$D103="","",'Energy Data Input'!$D103)</f>
        <v/>
      </c>
      <c r="E103" s="102">
        <f>IF('Energy Data Input'!$E103="","",'Energy Data Input'!$E103)</f>
        <v/>
      </c>
      <c r="F103" s="102">
        <f>IF('Energy Data Input'!$G103="","",'Energy Data Input'!$G103)</f>
        <v/>
      </c>
      <c r="G103" s="102">
        <f>IF('Energy Data Input'!$H103="","",'Energy Data Input'!$H103)</f>
        <v/>
      </c>
      <c r="H103" s="102">
        <f>IF('Energy Data Input'!$J103="","",'Energy Data Input'!$J103)</f>
        <v/>
      </c>
      <c r="I103" s="142">
        <f>IF('Energy Data Input'!$N103="","",'Energy Data Input'!$N103)</f>
        <v/>
      </c>
      <c r="J103" s="142">
        <f>IF($B103="","",IFERROR(AVERAGEIFS('Energy Data Input'!$N$6:$N$205,'Energy Data Input'!$B$6:$B$205,"&gt;="&amp;$B103-7,'Energy Data Input'!$B$6:$B$205,"&lt;"&amp;$B103,'Energy Data Input'!$H$6:$H$205,$G103,'Energy Data Input'!$J$6:$J$205,$H103),$I103))</f>
        <v/>
      </c>
      <c r="K103" s="143">
        <f>IFERROR(($I103-$J103)/$J103,"")</f>
        <v/>
      </c>
      <c r="L103" s="102">
        <f>IF('Energy Data Input'!$V103="","",'Energy Data Input'!$V103)</f>
        <v/>
      </c>
      <c r="M103" s="102">
        <f>IF($H103="","",IFERROR(VLOOKUP($H103,'Base Settings'!$A$13:$K$19,5,FALSE),0.2))</f>
        <v/>
      </c>
      <c r="N103" s="102">
        <f>IF($B103="","",IF('Energy Data Input'!$L103="","Missing reading",IF($I103=0,"Stalled reading / possibly offline",IF($K103&gt;=IFERROR(VLOOKUP($H103,'Base Settings'!$A$13:$K$19,6,FALSE),0.5),"Severe spike",IF($K103&gt;=$M103,"Usage spike",IF($K103&lt;=-IFERROR(VLOOKUP($H103,'Base Settings'!$A$13:$K$19,7,FALSE),0.3),"Usage drop",IF($L103&gt;IFERROR(VLOOKUP($H103,'Base Settings'!$A$13:$K$19,8,FALSE),999999),"Area intensity overrun","Normal")))))))</f>
        <v/>
      </c>
      <c r="O103" s="102">
        <f>IF($N103="","",IF($N103="Normal","Normal",IF(OR($N103="Severe spike",$K103&gt;=IFERROR(VLOOKUP($H103,'Base Settings'!$A$13:$K$19,6,FALSE),0.5)),"Severe",IF(OR($N103="Usage spike",$N103="Usage drop"),"High","Medium"))))</f>
        <v/>
      </c>
      <c r="P103" s="144">
        <f>IF(OR($N103="",$N103="Normal"),0,ABS($I103-$J103)*'Energy Data Input'!$O103)</f>
        <v/>
      </c>
      <c r="Q103" s="102">
        <f>IF($N103="Normal","",IF($N103="Stalled reading / possibly offline","核查表计通信/Electricity池/网关/阀门Status",IF(AND($H103="Water",$N103&lt;&gt;"Normal"),"检查管网、阀门、卫生间、冷却塔及夜间最小流量",IF(AND($H103="Electricity",$N103&lt;&gt;"Normal"),"检查空调、照明、生产设备、PeakOff-peak时段与待机功耗",IF(AND($H103="Gas",$N103&lt;&gt;"Normal"),"检查燃Gas阀门、锅炉/厨房设备与泄漏风险","核查设备工况、排班、产量与计量数据")))))</f>
        <v/>
      </c>
      <c r="R103" s="102">
        <f>IF($H103="","",IFERROR(VLOOKUP($H103,'Base Settings'!$A$13:$K$19,11,FALSE),"Energy management owner"))</f>
        <v/>
      </c>
      <c r="S103" s="102">
        <f>IF($N103="","",IF($N103="Normal","No action needed","Open"))</f>
        <v/>
      </c>
      <c r="T103" s="141">
        <f>IF(OR($B103="",$N103="Normal"),"",WORKDAY($B103,IF($O103="Severe",1,IF($O103="High",2,3))))</f>
        <v/>
      </c>
      <c r="U103" s="102">
        <f>IF($T103="","",IF(AND($S103&lt;&gt;"Closed",TODAY()&gt;$T103),"Overdue","Not overdue"))</f>
        <v/>
      </c>
      <c r="V103" s="102" t="n"/>
      <c r="W103" s="141" t="n"/>
      <c r="X103" s="102" t="n"/>
    </row>
    <row r="104">
      <c r="A104" s="102">
        <f>IF('Energy Data Input'!$A104="","","AL-"&amp;TEXT(ROW()-5,"0000"))</f>
        <v/>
      </c>
      <c r="B104" s="141">
        <f>IF('Energy Data Input'!$B104="","",'Energy Data Input'!$B104)</f>
        <v/>
      </c>
      <c r="C104" s="102">
        <f>IF('Energy Data Input'!$C104="","",'Energy Data Input'!$C104)</f>
        <v/>
      </c>
      <c r="D104" s="102">
        <f>IF('Energy Data Input'!$D104="","",'Energy Data Input'!$D104)</f>
        <v/>
      </c>
      <c r="E104" s="102">
        <f>IF('Energy Data Input'!$E104="","",'Energy Data Input'!$E104)</f>
        <v/>
      </c>
      <c r="F104" s="102">
        <f>IF('Energy Data Input'!$G104="","",'Energy Data Input'!$G104)</f>
        <v/>
      </c>
      <c r="G104" s="102">
        <f>IF('Energy Data Input'!$H104="","",'Energy Data Input'!$H104)</f>
        <v/>
      </c>
      <c r="H104" s="102">
        <f>IF('Energy Data Input'!$J104="","",'Energy Data Input'!$J104)</f>
        <v/>
      </c>
      <c r="I104" s="142">
        <f>IF('Energy Data Input'!$N104="","",'Energy Data Input'!$N104)</f>
        <v/>
      </c>
      <c r="J104" s="142">
        <f>IF($B104="","",IFERROR(AVERAGEIFS('Energy Data Input'!$N$6:$N$205,'Energy Data Input'!$B$6:$B$205,"&gt;="&amp;$B104-7,'Energy Data Input'!$B$6:$B$205,"&lt;"&amp;$B104,'Energy Data Input'!$H$6:$H$205,$G104,'Energy Data Input'!$J$6:$J$205,$H104),$I104))</f>
        <v/>
      </c>
      <c r="K104" s="143">
        <f>IFERROR(($I104-$J104)/$J104,"")</f>
        <v/>
      </c>
      <c r="L104" s="102">
        <f>IF('Energy Data Input'!$V104="","",'Energy Data Input'!$V104)</f>
        <v/>
      </c>
      <c r="M104" s="102">
        <f>IF($H104="","",IFERROR(VLOOKUP($H104,'Base Settings'!$A$13:$K$19,5,FALSE),0.2))</f>
        <v/>
      </c>
      <c r="N104" s="102">
        <f>IF($B104="","",IF('Energy Data Input'!$L104="","Missing reading",IF($I104=0,"Stalled reading / possibly offline",IF($K104&gt;=IFERROR(VLOOKUP($H104,'Base Settings'!$A$13:$K$19,6,FALSE),0.5),"Severe spike",IF($K104&gt;=$M104,"Usage spike",IF($K104&lt;=-IFERROR(VLOOKUP($H104,'Base Settings'!$A$13:$K$19,7,FALSE),0.3),"Usage drop",IF($L104&gt;IFERROR(VLOOKUP($H104,'Base Settings'!$A$13:$K$19,8,FALSE),999999),"Area intensity overrun","Normal")))))))</f>
        <v/>
      </c>
      <c r="O104" s="102">
        <f>IF($N104="","",IF($N104="Normal","Normal",IF(OR($N104="Severe spike",$K104&gt;=IFERROR(VLOOKUP($H104,'Base Settings'!$A$13:$K$19,6,FALSE),0.5)),"Severe",IF(OR($N104="Usage spike",$N104="Usage drop"),"High","Medium"))))</f>
        <v/>
      </c>
      <c r="P104" s="144">
        <f>IF(OR($N104="",$N104="Normal"),0,ABS($I104-$J104)*'Energy Data Input'!$O104)</f>
        <v/>
      </c>
      <c r="Q104" s="102">
        <f>IF($N104="Normal","",IF($N104="Stalled reading / possibly offline","核查表计通信/Electricity池/网关/阀门Status",IF(AND($H104="Water",$N104&lt;&gt;"Normal"),"检查管网、阀门、卫生间、冷却塔及夜间最小流量",IF(AND($H104="Electricity",$N104&lt;&gt;"Normal"),"检查空调、照明、生产设备、PeakOff-peak时段与待机功耗",IF(AND($H104="Gas",$N104&lt;&gt;"Normal"),"检查燃Gas阀门、锅炉/厨房设备与泄漏风险","核查设备工况、排班、产量与计量数据")))))</f>
        <v/>
      </c>
      <c r="R104" s="102">
        <f>IF($H104="","",IFERROR(VLOOKUP($H104,'Base Settings'!$A$13:$K$19,11,FALSE),"Energy management owner"))</f>
        <v/>
      </c>
      <c r="S104" s="102">
        <f>IF($N104="","",IF($N104="Normal","No action needed","Open"))</f>
        <v/>
      </c>
      <c r="T104" s="141">
        <f>IF(OR($B104="",$N104="Normal"),"",WORKDAY($B104,IF($O104="Severe",1,IF($O104="High",2,3))))</f>
        <v/>
      </c>
      <c r="U104" s="102">
        <f>IF($T104="","",IF(AND($S104&lt;&gt;"Closed",TODAY()&gt;$T104),"Overdue","Not overdue"))</f>
        <v/>
      </c>
      <c r="V104" s="102" t="n"/>
      <c r="W104" s="141" t="n"/>
      <c r="X104" s="102" t="n"/>
    </row>
    <row r="105">
      <c r="A105" s="102">
        <f>IF('Energy Data Input'!$A105="","","AL-"&amp;TEXT(ROW()-5,"0000"))</f>
        <v/>
      </c>
      <c r="B105" s="141">
        <f>IF('Energy Data Input'!$B105="","",'Energy Data Input'!$B105)</f>
        <v/>
      </c>
      <c r="C105" s="102">
        <f>IF('Energy Data Input'!$C105="","",'Energy Data Input'!$C105)</f>
        <v/>
      </c>
      <c r="D105" s="102">
        <f>IF('Energy Data Input'!$D105="","",'Energy Data Input'!$D105)</f>
        <v/>
      </c>
      <c r="E105" s="102">
        <f>IF('Energy Data Input'!$E105="","",'Energy Data Input'!$E105)</f>
        <v/>
      </c>
      <c r="F105" s="102">
        <f>IF('Energy Data Input'!$G105="","",'Energy Data Input'!$G105)</f>
        <v/>
      </c>
      <c r="G105" s="102">
        <f>IF('Energy Data Input'!$H105="","",'Energy Data Input'!$H105)</f>
        <v/>
      </c>
      <c r="H105" s="102">
        <f>IF('Energy Data Input'!$J105="","",'Energy Data Input'!$J105)</f>
        <v/>
      </c>
      <c r="I105" s="142">
        <f>IF('Energy Data Input'!$N105="","",'Energy Data Input'!$N105)</f>
        <v/>
      </c>
      <c r="J105" s="142">
        <f>IF($B105="","",IFERROR(AVERAGEIFS('Energy Data Input'!$N$6:$N$205,'Energy Data Input'!$B$6:$B$205,"&gt;="&amp;$B105-7,'Energy Data Input'!$B$6:$B$205,"&lt;"&amp;$B105,'Energy Data Input'!$H$6:$H$205,$G105,'Energy Data Input'!$J$6:$J$205,$H105),$I105))</f>
        <v/>
      </c>
      <c r="K105" s="143">
        <f>IFERROR(($I105-$J105)/$J105,"")</f>
        <v/>
      </c>
      <c r="L105" s="102">
        <f>IF('Energy Data Input'!$V105="","",'Energy Data Input'!$V105)</f>
        <v/>
      </c>
      <c r="M105" s="102">
        <f>IF($H105="","",IFERROR(VLOOKUP($H105,'Base Settings'!$A$13:$K$19,5,FALSE),0.2))</f>
        <v/>
      </c>
      <c r="N105" s="102">
        <f>IF($B105="","",IF('Energy Data Input'!$L105="","Missing reading",IF($I105=0,"Stalled reading / possibly offline",IF($K105&gt;=IFERROR(VLOOKUP($H105,'Base Settings'!$A$13:$K$19,6,FALSE),0.5),"Severe spike",IF($K105&gt;=$M105,"Usage spike",IF($K105&lt;=-IFERROR(VLOOKUP($H105,'Base Settings'!$A$13:$K$19,7,FALSE),0.3),"Usage drop",IF($L105&gt;IFERROR(VLOOKUP($H105,'Base Settings'!$A$13:$K$19,8,FALSE),999999),"Area intensity overrun","Normal")))))))</f>
        <v/>
      </c>
      <c r="O105" s="102">
        <f>IF($N105="","",IF($N105="Normal","Normal",IF(OR($N105="Severe spike",$K105&gt;=IFERROR(VLOOKUP($H105,'Base Settings'!$A$13:$K$19,6,FALSE),0.5)),"Severe",IF(OR($N105="Usage spike",$N105="Usage drop"),"High","Medium"))))</f>
        <v/>
      </c>
      <c r="P105" s="144">
        <f>IF(OR($N105="",$N105="Normal"),0,ABS($I105-$J105)*'Energy Data Input'!$O105)</f>
        <v/>
      </c>
      <c r="Q105" s="102">
        <f>IF($N105="Normal","",IF($N105="Stalled reading / possibly offline","核查表计通信/Electricity池/网关/阀门Status",IF(AND($H105="Water",$N105&lt;&gt;"Normal"),"检查管网、阀门、卫生间、冷却塔及夜间最小流量",IF(AND($H105="Electricity",$N105&lt;&gt;"Normal"),"检查空调、照明、生产设备、PeakOff-peak时段与待机功耗",IF(AND($H105="Gas",$N105&lt;&gt;"Normal"),"检查燃Gas阀门、锅炉/厨房设备与泄漏风险","核查设备工况、排班、产量与计量数据")))))</f>
        <v/>
      </c>
      <c r="R105" s="102">
        <f>IF($H105="","",IFERROR(VLOOKUP($H105,'Base Settings'!$A$13:$K$19,11,FALSE),"Energy management owner"))</f>
        <v/>
      </c>
      <c r="S105" s="102">
        <f>IF($N105="","",IF($N105="Normal","No action needed","Open"))</f>
        <v/>
      </c>
      <c r="T105" s="141">
        <f>IF(OR($B105="",$N105="Normal"),"",WORKDAY($B105,IF($O105="Severe",1,IF($O105="High",2,3))))</f>
        <v/>
      </c>
      <c r="U105" s="102">
        <f>IF($T105="","",IF(AND($S105&lt;&gt;"Closed",TODAY()&gt;$T105),"Overdue","Not overdue"))</f>
        <v/>
      </c>
      <c r="V105" s="102" t="n"/>
      <c r="W105" s="141" t="n"/>
      <c r="X105" s="102" t="n"/>
    </row>
    <row r="106">
      <c r="A106" s="102">
        <f>IF('Energy Data Input'!$A106="","","AL-"&amp;TEXT(ROW()-5,"0000"))</f>
        <v/>
      </c>
      <c r="B106" s="141">
        <f>IF('Energy Data Input'!$B106="","",'Energy Data Input'!$B106)</f>
        <v/>
      </c>
      <c r="C106" s="102">
        <f>IF('Energy Data Input'!$C106="","",'Energy Data Input'!$C106)</f>
        <v/>
      </c>
      <c r="D106" s="102">
        <f>IF('Energy Data Input'!$D106="","",'Energy Data Input'!$D106)</f>
        <v/>
      </c>
      <c r="E106" s="102">
        <f>IF('Energy Data Input'!$E106="","",'Energy Data Input'!$E106)</f>
        <v/>
      </c>
      <c r="F106" s="102">
        <f>IF('Energy Data Input'!$G106="","",'Energy Data Input'!$G106)</f>
        <v/>
      </c>
      <c r="G106" s="102">
        <f>IF('Energy Data Input'!$H106="","",'Energy Data Input'!$H106)</f>
        <v/>
      </c>
      <c r="H106" s="102">
        <f>IF('Energy Data Input'!$J106="","",'Energy Data Input'!$J106)</f>
        <v/>
      </c>
      <c r="I106" s="142">
        <f>IF('Energy Data Input'!$N106="","",'Energy Data Input'!$N106)</f>
        <v/>
      </c>
      <c r="J106" s="142">
        <f>IF($B106="","",IFERROR(AVERAGEIFS('Energy Data Input'!$N$6:$N$205,'Energy Data Input'!$B$6:$B$205,"&gt;="&amp;$B106-7,'Energy Data Input'!$B$6:$B$205,"&lt;"&amp;$B106,'Energy Data Input'!$H$6:$H$205,$G106,'Energy Data Input'!$J$6:$J$205,$H106),$I106))</f>
        <v/>
      </c>
      <c r="K106" s="143">
        <f>IFERROR(($I106-$J106)/$J106,"")</f>
        <v/>
      </c>
      <c r="L106" s="102">
        <f>IF('Energy Data Input'!$V106="","",'Energy Data Input'!$V106)</f>
        <v/>
      </c>
      <c r="M106" s="102">
        <f>IF($H106="","",IFERROR(VLOOKUP($H106,'Base Settings'!$A$13:$K$19,5,FALSE),0.2))</f>
        <v/>
      </c>
      <c r="N106" s="102">
        <f>IF($B106="","",IF('Energy Data Input'!$L106="","Missing reading",IF($I106=0,"Stalled reading / possibly offline",IF($K106&gt;=IFERROR(VLOOKUP($H106,'Base Settings'!$A$13:$K$19,6,FALSE),0.5),"Severe spike",IF($K106&gt;=$M106,"Usage spike",IF($K106&lt;=-IFERROR(VLOOKUP($H106,'Base Settings'!$A$13:$K$19,7,FALSE),0.3),"Usage drop",IF($L106&gt;IFERROR(VLOOKUP($H106,'Base Settings'!$A$13:$K$19,8,FALSE),999999),"Area intensity overrun","Normal")))))))</f>
        <v/>
      </c>
      <c r="O106" s="102">
        <f>IF($N106="","",IF($N106="Normal","Normal",IF(OR($N106="Severe spike",$K106&gt;=IFERROR(VLOOKUP($H106,'Base Settings'!$A$13:$K$19,6,FALSE),0.5)),"Severe",IF(OR($N106="Usage spike",$N106="Usage drop"),"High","Medium"))))</f>
        <v/>
      </c>
      <c r="P106" s="144">
        <f>IF(OR($N106="",$N106="Normal"),0,ABS($I106-$J106)*'Energy Data Input'!$O106)</f>
        <v/>
      </c>
      <c r="Q106" s="102">
        <f>IF($N106="Normal","",IF($N106="Stalled reading / possibly offline","核查表计通信/Electricity池/网关/阀门Status",IF(AND($H106="Water",$N106&lt;&gt;"Normal"),"检查管网、阀门、卫生间、冷却塔及夜间最小流量",IF(AND($H106="Electricity",$N106&lt;&gt;"Normal"),"检查空调、照明、生产设备、PeakOff-peak时段与待机功耗",IF(AND($H106="Gas",$N106&lt;&gt;"Normal"),"检查燃Gas阀门、锅炉/厨房设备与泄漏风险","核查设备工况、排班、产量与计量数据")))))</f>
        <v/>
      </c>
      <c r="R106" s="102">
        <f>IF($H106="","",IFERROR(VLOOKUP($H106,'Base Settings'!$A$13:$K$19,11,FALSE),"Energy management owner"))</f>
        <v/>
      </c>
      <c r="S106" s="102">
        <f>IF($N106="","",IF($N106="Normal","No action needed","Open"))</f>
        <v/>
      </c>
      <c r="T106" s="141">
        <f>IF(OR($B106="",$N106="Normal"),"",WORKDAY($B106,IF($O106="Severe",1,IF($O106="High",2,3))))</f>
        <v/>
      </c>
      <c r="U106" s="102">
        <f>IF($T106="","",IF(AND($S106&lt;&gt;"Closed",TODAY()&gt;$T106),"Overdue","Not overdue"))</f>
        <v/>
      </c>
      <c r="V106" s="102" t="n"/>
      <c r="W106" s="141" t="n"/>
      <c r="X106" s="102" t="n"/>
    </row>
    <row r="107">
      <c r="A107" s="102">
        <f>IF('Energy Data Input'!$A107="","","AL-"&amp;TEXT(ROW()-5,"0000"))</f>
        <v/>
      </c>
      <c r="B107" s="141">
        <f>IF('Energy Data Input'!$B107="","",'Energy Data Input'!$B107)</f>
        <v/>
      </c>
      <c r="C107" s="102">
        <f>IF('Energy Data Input'!$C107="","",'Energy Data Input'!$C107)</f>
        <v/>
      </c>
      <c r="D107" s="102">
        <f>IF('Energy Data Input'!$D107="","",'Energy Data Input'!$D107)</f>
        <v/>
      </c>
      <c r="E107" s="102">
        <f>IF('Energy Data Input'!$E107="","",'Energy Data Input'!$E107)</f>
        <v/>
      </c>
      <c r="F107" s="102">
        <f>IF('Energy Data Input'!$G107="","",'Energy Data Input'!$G107)</f>
        <v/>
      </c>
      <c r="G107" s="102">
        <f>IF('Energy Data Input'!$H107="","",'Energy Data Input'!$H107)</f>
        <v/>
      </c>
      <c r="H107" s="102">
        <f>IF('Energy Data Input'!$J107="","",'Energy Data Input'!$J107)</f>
        <v/>
      </c>
      <c r="I107" s="142">
        <f>IF('Energy Data Input'!$N107="","",'Energy Data Input'!$N107)</f>
        <v/>
      </c>
      <c r="J107" s="142">
        <f>IF($B107="","",IFERROR(AVERAGEIFS('Energy Data Input'!$N$6:$N$205,'Energy Data Input'!$B$6:$B$205,"&gt;="&amp;$B107-7,'Energy Data Input'!$B$6:$B$205,"&lt;"&amp;$B107,'Energy Data Input'!$H$6:$H$205,$G107,'Energy Data Input'!$J$6:$J$205,$H107),$I107))</f>
        <v/>
      </c>
      <c r="K107" s="143">
        <f>IFERROR(($I107-$J107)/$J107,"")</f>
        <v/>
      </c>
      <c r="L107" s="102">
        <f>IF('Energy Data Input'!$V107="","",'Energy Data Input'!$V107)</f>
        <v/>
      </c>
      <c r="M107" s="102">
        <f>IF($H107="","",IFERROR(VLOOKUP($H107,'Base Settings'!$A$13:$K$19,5,FALSE),0.2))</f>
        <v/>
      </c>
      <c r="N107" s="102">
        <f>IF($B107="","",IF('Energy Data Input'!$L107="","Missing reading",IF($I107=0,"Stalled reading / possibly offline",IF($K107&gt;=IFERROR(VLOOKUP($H107,'Base Settings'!$A$13:$K$19,6,FALSE),0.5),"Severe spike",IF($K107&gt;=$M107,"Usage spike",IF($K107&lt;=-IFERROR(VLOOKUP($H107,'Base Settings'!$A$13:$K$19,7,FALSE),0.3),"Usage drop",IF($L107&gt;IFERROR(VLOOKUP($H107,'Base Settings'!$A$13:$K$19,8,FALSE),999999),"Area intensity overrun","Normal")))))))</f>
        <v/>
      </c>
      <c r="O107" s="102">
        <f>IF($N107="","",IF($N107="Normal","Normal",IF(OR($N107="Severe spike",$K107&gt;=IFERROR(VLOOKUP($H107,'Base Settings'!$A$13:$K$19,6,FALSE),0.5)),"Severe",IF(OR($N107="Usage spike",$N107="Usage drop"),"High","Medium"))))</f>
        <v/>
      </c>
      <c r="P107" s="144">
        <f>IF(OR($N107="",$N107="Normal"),0,ABS($I107-$J107)*'Energy Data Input'!$O107)</f>
        <v/>
      </c>
      <c r="Q107" s="102">
        <f>IF($N107="Normal","",IF($N107="Stalled reading / possibly offline","核查表计通信/Electricity池/网关/阀门Status",IF(AND($H107="Water",$N107&lt;&gt;"Normal"),"检查管网、阀门、卫生间、冷却塔及夜间最小流量",IF(AND($H107="Electricity",$N107&lt;&gt;"Normal"),"检查空调、照明、生产设备、PeakOff-peak时段与待机功耗",IF(AND($H107="Gas",$N107&lt;&gt;"Normal"),"检查燃Gas阀门、锅炉/厨房设备与泄漏风险","核查设备工况、排班、产量与计量数据")))))</f>
        <v/>
      </c>
      <c r="R107" s="102">
        <f>IF($H107="","",IFERROR(VLOOKUP($H107,'Base Settings'!$A$13:$K$19,11,FALSE),"Energy management owner"))</f>
        <v/>
      </c>
      <c r="S107" s="102">
        <f>IF($N107="","",IF($N107="Normal","No action needed","Open"))</f>
        <v/>
      </c>
      <c r="T107" s="141">
        <f>IF(OR($B107="",$N107="Normal"),"",WORKDAY($B107,IF($O107="Severe",1,IF($O107="High",2,3))))</f>
        <v/>
      </c>
      <c r="U107" s="102">
        <f>IF($T107="","",IF(AND($S107&lt;&gt;"Closed",TODAY()&gt;$T107),"Overdue","Not overdue"))</f>
        <v/>
      </c>
      <c r="V107" s="102" t="n"/>
      <c r="W107" s="141" t="n"/>
      <c r="X107" s="102" t="n"/>
    </row>
    <row r="108">
      <c r="A108" s="102">
        <f>IF('Energy Data Input'!$A108="","","AL-"&amp;TEXT(ROW()-5,"0000"))</f>
        <v/>
      </c>
      <c r="B108" s="141">
        <f>IF('Energy Data Input'!$B108="","",'Energy Data Input'!$B108)</f>
        <v/>
      </c>
      <c r="C108" s="102">
        <f>IF('Energy Data Input'!$C108="","",'Energy Data Input'!$C108)</f>
        <v/>
      </c>
      <c r="D108" s="102">
        <f>IF('Energy Data Input'!$D108="","",'Energy Data Input'!$D108)</f>
        <v/>
      </c>
      <c r="E108" s="102">
        <f>IF('Energy Data Input'!$E108="","",'Energy Data Input'!$E108)</f>
        <v/>
      </c>
      <c r="F108" s="102">
        <f>IF('Energy Data Input'!$G108="","",'Energy Data Input'!$G108)</f>
        <v/>
      </c>
      <c r="G108" s="102">
        <f>IF('Energy Data Input'!$H108="","",'Energy Data Input'!$H108)</f>
        <v/>
      </c>
      <c r="H108" s="102">
        <f>IF('Energy Data Input'!$J108="","",'Energy Data Input'!$J108)</f>
        <v/>
      </c>
      <c r="I108" s="142">
        <f>IF('Energy Data Input'!$N108="","",'Energy Data Input'!$N108)</f>
        <v/>
      </c>
      <c r="J108" s="142">
        <f>IF($B108="","",IFERROR(AVERAGEIFS('Energy Data Input'!$N$6:$N$205,'Energy Data Input'!$B$6:$B$205,"&gt;="&amp;$B108-7,'Energy Data Input'!$B$6:$B$205,"&lt;"&amp;$B108,'Energy Data Input'!$H$6:$H$205,$G108,'Energy Data Input'!$J$6:$J$205,$H108),$I108))</f>
        <v/>
      </c>
      <c r="K108" s="143">
        <f>IFERROR(($I108-$J108)/$J108,"")</f>
        <v/>
      </c>
      <c r="L108" s="102">
        <f>IF('Energy Data Input'!$V108="","",'Energy Data Input'!$V108)</f>
        <v/>
      </c>
      <c r="M108" s="102">
        <f>IF($H108="","",IFERROR(VLOOKUP($H108,'Base Settings'!$A$13:$K$19,5,FALSE),0.2))</f>
        <v/>
      </c>
      <c r="N108" s="102">
        <f>IF($B108="","",IF('Energy Data Input'!$L108="","Missing reading",IF($I108=0,"Stalled reading / possibly offline",IF($K108&gt;=IFERROR(VLOOKUP($H108,'Base Settings'!$A$13:$K$19,6,FALSE),0.5),"Severe spike",IF($K108&gt;=$M108,"Usage spike",IF($K108&lt;=-IFERROR(VLOOKUP($H108,'Base Settings'!$A$13:$K$19,7,FALSE),0.3),"Usage drop",IF($L108&gt;IFERROR(VLOOKUP($H108,'Base Settings'!$A$13:$K$19,8,FALSE),999999),"Area intensity overrun","Normal")))))))</f>
        <v/>
      </c>
      <c r="O108" s="102">
        <f>IF($N108="","",IF($N108="Normal","Normal",IF(OR($N108="Severe spike",$K108&gt;=IFERROR(VLOOKUP($H108,'Base Settings'!$A$13:$K$19,6,FALSE),0.5)),"Severe",IF(OR($N108="Usage spike",$N108="Usage drop"),"High","Medium"))))</f>
        <v/>
      </c>
      <c r="P108" s="144">
        <f>IF(OR($N108="",$N108="Normal"),0,ABS($I108-$J108)*'Energy Data Input'!$O108)</f>
        <v/>
      </c>
      <c r="Q108" s="102">
        <f>IF($N108="Normal","",IF($N108="Stalled reading / possibly offline","核查表计通信/Electricity池/网关/阀门Status",IF(AND($H108="Water",$N108&lt;&gt;"Normal"),"检查管网、阀门、卫生间、冷却塔及夜间最小流量",IF(AND($H108="Electricity",$N108&lt;&gt;"Normal"),"检查空调、照明、生产设备、PeakOff-peak时段与待机功耗",IF(AND($H108="Gas",$N108&lt;&gt;"Normal"),"检查燃Gas阀门、锅炉/厨房设备与泄漏风险","核查设备工况、排班、产量与计量数据")))))</f>
        <v/>
      </c>
      <c r="R108" s="102">
        <f>IF($H108="","",IFERROR(VLOOKUP($H108,'Base Settings'!$A$13:$K$19,11,FALSE),"Energy management owner"))</f>
        <v/>
      </c>
      <c r="S108" s="102">
        <f>IF($N108="","",IF($N108="Normal","No action needed","Open"))</f>
        <v/>
      </c>
      <c r="T108" s="141">
        <f>IF(OR($B108="",$N108="Normal"),"",WORKDAY($B108,IF($O108="Severe",1,IF($O108="High",2,3))))</f>
        <v/>
      </c>
      <c r="U108" s="102">
        <f>IF($T108="","",IF(AND($S108&lt;&gt;"Closed",TODAY()&gt;$T108),"Overdue","Not overdue"))</f>
        <v/>
      </c>
      <c r="V108" s="102" t="n"/>
      <c r="W108" s="141" t="n"/>
      <c r="X108" s="102" t="n"/>
    </row>
    <row r="109">
      <c r="A109" s="102">
        <f>IF('Energy Data Input'!$A109="","","AL-"&amp;TEXT(ROW()-5,"0000"))</f>
        <v/>
      </c>
      <c r="B109" s="141">
        <f>IF('Energy Data Input'!$B109="","",'Energy Data Input'!$B109)</f>
        <v/>
      </c>
      <c r="C109" s="102">
        <f>IF('Energy Data Input'!$C109="","",'Energy Data Input'!$C109)</f>
        <v/>
      </c>
      <c r="D109" s="102">
        <f>IF('Energy Data Input'!$D109="","",'Energy Data Input'!$D109)</f>
        <v/>
      </c>
      <c r="E109" s="102">
        <f>IF('Energy Data Input'!$E109="","",'Energy Data Input'!$E109)</f>
        <v/>
      </c>
      <c r="F109" s="102">
        <f>IF('Energy Data Input'!$G109="","",'Energy Data Input'!$G109)</f>
        <v/>
      </c>
      <c r="G109" s="102">
        <f>IF('Energy Data Input'!$H109="","",'Energy Data Input'!$H109)</f>
        <v/>
      </c>
      <c r="H109" s="102">
        <f>IF('Energy Data Input'!$J109="","",'Energy Data Input'!$J109)</f>
        <v/>
      </c>
      <c r="I109" s="142">
        <f>IF('Energy Data Input'!$N109="","",'Energy Data Input'!$N109)</f>
        <v/>
      </c>
      <c r="J109" s="142">
        <f>IF($B109="","",IFERROR(AVERAGEIFS('Energy Data Input'!$N$6:$N$205,'Energy Data Input'!$B$6:$B$205,"&gt;="&amp;$B109-7,'Energy Data Input'!$B$6:$B$205,"&lt;"&amp;$B109,'Energy Data Input'!$H$6:$H$205,$G109,'Energy Data Input'!$J$6:$J$205,$H109),$I109))</f>
        <v/>
      </c>
      <c r="K109" s="143">
        <f>IFERROR(($I109-$J109)/$J109,"")</f>
        <v/>
      </c>
      <c r="L109" s="102">
        <f>IF('Energy Data Input'!$V109="","",'Energy Data Input'!$V109)</f>
        <v/>
      </c>
      <c r="M109" s="102">
        <f>IF($H109="","",IFERROR(VLOOKUP($H109,'Base Settings'!$A$13:$K$19,5,FALSE),0.2))</f>
        <v/>
      </c>
      <c r="N109" s="102">
        <f>IF($B109="","",IF('Energy Data Input'!$L109="","Missing reading",IF($I109=0,"Stalled reading / possibly offline",IF($K109&gt;=IFERROR(VLOOKUP($H109,'Base Settings'!$A$13:$K$19,6,FALSE),0.5),"Severe spike",IF($K109&gt;=$M109,"Usage spike",IF($K109&lt;=-IFERROR(VLOOKUP($H109,'Base Settings'!$A$13:$K$19,7,FALSE),0.3),"Usage drop",IF($L109&gt;IFERROR(VLOOKUP($H109,'Base Settings'!$A$13:$K$19,8,FALSE),999999),"Area intensity overrun","Normal")))))))</f>
        <v/>
      </c>
      <c r="O109" s="102">
        <f>IF($N109="","",IF($N109="Normal","Normal",IF(OR($N109="Severe spike",$K109&gt;=IFERROR(VLOOKUP($H109,'Base Settings'!$A$13:$K$19,6,FALSE),0.5)),"Severe",IF(OR($N109="Usage spike",$N109="Usage drop"),"High","Medium"))))</f>
        <v/>
      </c>
      <c r="P109" s="144">
        <f>IF(OR($N109="",$N109="Normal"),0,ABS($I109-$J109)*'Energy Data Input'!$O109)</f>
        <v/>
      </c>
      <c r="Q109" s="102">
        <f>IF($N109="Normal","",IF($N109="Stalled reading / possibly offline","核查表计通信/Electricity池/网关/阀门Status",IF(AND($H109="Water",$N109&lt;&gt;"Normal"),"检查管网、阀门、卫生间、冷却塔及夜间最小流量",IF(AND($H109="Electricity",$N109&lt;&gt;"Normal"),"检查空调、照明、生产设备、PeakOff-peak时段与待机功耗",IF(AND($H109="Gas",$N109&lt;&gt;"Normal"),"检查燃Gas阀门、锅炉/厨房设备与泄漏风险","核查设备工况、排班、产量与计量数据")))))</f>
        <v/>
      </c>
      <c r="R109" s="102">
        <f>IF($H109="","",IFERROR(VLOOKUP($H109,'Base Settings'!$A$13:$K$19,11,FALSE),"Energy management owner"))</f>
        <v/>
      </c>
      <c r="S109" s="102">
        <f>IF($N109="","",IF($N109="Normal","No action needed","Open"))</f>
        <v/>
      </c>
      <c r="T109" s="141">
        <f>IF(OR($B109="",$N109="Normal"),"",WORKDAY($B109,IF($O109="Severe",1,IF($O109="High",2,3))))</f>
        <v/>
      </c>
      <c r="U109" s="102">
        <f>IF($T109="","",IF(AND($S109&lt;&gt;"Closed",TODAY()&gt;$T109),"Overdue","Not overdue"))</f>
        <v/>
      </c>
      <c r="V109" s="102" t="n"/>
      <c r="W109" s="141" t="n"/>
      <c r="X109" s="102" t="n"/>
    </row>
    <row r="110">
      <c r="A110" s="102">
        <f>IF('Energy Data Input'!$A110="","","AL-"&amp;TEXT(ROW()-5,"0000"))</f>
        <v/>
      </c>
      <c r="B110" s="141">
        <f>IF('Energy Data Input'!$B110="","",'Energy Data Input'!$B110)</f>
        <v/>
      </c>
      <c r="C110" s="102">
        <f>IF('Energy Data Input'!$C110="","",'Energy Data Input'!$C110)</f>
        <v/>
      </c>
      <c r="D110" s="102">
        <f>IF('Energy Data Input'!$D110="","",'Energy Data Input'!$D110)</f>
        <v/>
      </c>
      <c r="E110" s="102">
        <f>IF('Energy Data Input'!$E110="","",'Energy Data Input'!$E110)</f>
        <v/>
      </c>
      <c r="F110" s="102">
        <f>IF('Energy Data Input'!$G110="","",'Energy Data Input'!$G110)</f>
        <v/>
      </c>
      <c r="G110" s="102">
        <f>IF('Energy Data Input'!$H110="","",'Energy Data Input'!$H110)</f>
        <v/>
      </c>
      <c r="H110" s="102">
        <f>IF('Energy Data Input'!$J110="","",'Energy Data Input'!$J110)</f>
        <v/>
      </c>
      <c r="I110" s="142">
        <f>IF('Energy Data Input'!$N110="","",'Energy Data Input'!$N110)</f>
        <v/>
      </c>
      <c r="J110" s="142">
        <f>IF($B110="","",IFERROR(AVERAGEIFS('Energy Data Input'!$N$6:$N$205,'Energy Data Input'!$B$6:$B$205,"&gt;="&amp;$B110-7,'Energy Data Input'!$B$6:$B$205,"&lt;"&amp;$B110,'Energy Data Input'!$H$6:$H$205,$G110,'Energy Data Input'!$J$6:$J$205,$H110),$I110))</f>
        <v/>
      </c>
      <c r="K110" s="143">
        <f>IFERROR(($I110-$J110)/$J110,"")</f>
        <v/>
      </c>
      <c r="L110" s="102">
        <f>IF('Energy Data Input'!$V110="","",'Energy Data Input'!$V110)</f>
        <v/>
      </c>
      <c r="M110" s="102">
        <f>IF($H110="","",IFERROR(VLOOKUP($H110,'Base Settings'!$A$13:$K$19,5,FALSE),0.2))</f>
        <v/>
      </c>
      <c r="N110" s="102">
        <f>IF($B110="","",IF('Energy Data Input'!$L110="","Missing reading",IF($I110=0,"Stalled reading / possibly offline",IF($K110&gt;=IFERROR(VLOOKUP($H110,'Base Settings'!$A$13:$K$19,6,FALSE),0.5),"Severe spike",IF($K110&gt;=$M110,"Usage spike",IF($K110&lt;=-IFERROR(VLOOKUP($H110,'Base Settings'!$A$13:$K$19,7,FALSE),0.3),"Usage drop",IF($L110&gt;IFERROR(VLOOKUP($H110,'Base Settings'!$A$13:$K$19,8,FALSE),999999),"Area intensity overrun","Normal")))))))</f>
        <v/>
      </c>
      <c r="O110" s="102">
        <f>IF($N110="","",IF($N110="Normal","Normal",IF(OR($N110="Severe spike",$K110&gt;=IFERROR(VLOOKUP($H110,'Base Settings'!$A$13:$K$19,6,FALSE),0.5)),"Severe",IF(OR($N110="Usage spike",$N110="Usage drop"),"High","Medium"))))</f>
        <v/>
      </c>
      <c r="P110" s="144">
        <f>IF(OR($N110="",$N110="Normal"),0,ABS($I110-$J110)*'Energy Data Input'!$O110)</f>
        <v/>
      </c>
      <c r="Q110" s="102">
        <f>IF($N110="Normal","",IF($N110="Stalled reading / possibly offline","核查表计通信/Electricity池/网关/阀门Status",IF(AND($H110="Water",$N110&lt;&gt;"Normal"),"检查管网、阀门、卫生间、冷却塔及夜间最小流量",IF(AND($H110="Electricity",$N110&lt;&gt;"Normal"),"检查空调、照明、生产设备、PeakOff-peak时段与待机功耗",IF(AND($H110="Gas",$N110&lt;&gt;"Normal"),"检查燃Gas阀门、锅炉/厨房设备与泄漏风险","核查设备工况、排班、产量与计量数据")))))</f>
        <v/>
      </c>
      <c r="R110" s="102">
        <f>IF($H110="","",IFERROR(VLOOKUP($H110,'Base Settings'!$A$13:$K$19,11,FALSE),"Energy management owner"))</f>
        <v/>
      </c>
      <c r="S110" s="102">
        <f>IF($N110="","",IF($N110="Normal","No action needed","Open"))</f>
        <v/>
      </c>
      <c r="T110" s="141">
        <f>IF(OR($B110="",$N110="Normal"),"",WORKDAY($B110,IF($O110="Severe",1,IF($O110="High",2,3))))</f>
        <v/>
      </c>
      <c r="U110" s="102">
        <f>IF($T110="","",IF(AND($S110&lt;&gt;"Closed",TODAY()&gt;$T110),"Overdue","Not overdue"))</f>
        <v/>
      </c>
      <c r="V110" s="102" t="n"/>
      <c r="W110" s="141" t="n"/>
      <c r="X110" s="102" t="n"/>
    </row>
    <row r="111">
      <c r="A111" s="102">
        <f>IF('Energy Data Input'!$A111="","","AL-"&amp;TEXT(ROW()-5,"0000"))</f>
        <v/>
      </c>
      <c r="B111" s="141">
        <f>IF('Energy Data Input'!$B111="","",'Energy Data Input'!$B111)</f>
        <v/>
      </c>
      <c r="C111" s="102">
        <f>IF('Energy Data Input'!$C111="","",'Energy Data Input'!$C111)</f>
        <v/>
      </c>
      <c r="D111" s="102">
        <f>IF('Energy Data Input'!$D111="","",'Energy Data Input'!$D111)</f>
        <v/>
      </c>
      <c r="E111" s="102">
        <f>IF('Energy Data Input'!$E111="","",'Energy Data Input'!$E111)</f>
        <v/>
      </c>
      <c r="F111" s="102">
        <f>IF('Energy Data Input'!$G111="","",'Energy Data Input'!$G111)</f>
        <v/>
      </c>
      <c r="G111" s="102">
        <f>IF('Energy Data Input'!$H111="","",'Energy Data Input'!$H111)</f>
        <v/>
      </c>
      <c r="H111" s="102">
        <f>IF('Energy Data Input'!$J111="","",'Energy Data Input'!$J111)</f>
        <v/>
      </c>
      <c r="I111" s="142">
        <f>IF('Energy Data Input'!$N111="","",'Energy Data Input'!$N111)</f>
        <v/>
      </c>
      <c r="J111" s="142">
        <f>IF($B111="","",IFERROR(AVERAGEIFS('Energy Data Input'!$N$6:$N$205,'Energy Data Input'!$B$6:$B$205,"&gt;="&amp;$B111-7,'Energy Data Input'!$B$6:$B$205,"&lt;"&amp;$B111,'Energy Data Input'!$H$6:$H$205,$G111,'Energy Data Input'!$J$6:$J$205,$H111),$I111))</f>
        <v/>
      </c>
      <c r="K111" s="143">
        <f>IFERROR(($I111-$J111)/$J111,"")</f>
        <v/>
      </c>
      <c r="L111" s="102">
        <f>IF('Energy Data Input'!$V111="","",'Energy Data Input'!$V111)</f>
        <v/>
      </c>
      <c r="M111" s="102">
        <f>IF($H111="","",IFERROR(VLOOKUP($H111,'Base Settings'!$A$13:$K$19,5,FALSE),0.2))</f>
        <v/>
      </c>
      <c r="N111" s="102">
        <f>IF($B111="","",IF('Energy Data Input'!$L111="","Missing reading",IF($I111=0,"Stalled reading / possibly offline",IF($K111&gt;=IFERROR(VLOOKUP($H111,'Base Settings'!$A$13:$K$19,6,FALSE),0.5),"Severe spike",IF($K111&gt;=$M111,"Usage spike",IF($K111&lt;=-IFERROR(VLOOKUP($H111,'Base Settings'!$A$13:$K$19,7,FALSE),0.3),"Usage drop",IF($L111&gt;IFERROR(VLOOKUP($H111,'Base Settings'!$A$13:$K$19,8,FALSE),999999),"Area intensity overrun","Normal")))))))</f>
        <v/>
      </c>
      <c r="O111" s="102">
        <f>IF($N111="","",IF($N111="Normal","Normal",IF(OR($N111="Severe spike",$K111&gt;=IFERROR(VLOOKUP($H111,'Base Settings'!$A$13:$K$19,6,FALSE),0.5)),"Severe",IF(OR($N111="Usage spike",$N111="Usage drop"),"High","Medium"))))</f>
        <v/>
      </c>
      <c r="P111" s="144">
        <f>IF(OR($N111="",$N111="Normal"),0,ABS($I111-$J111)*'Energy Data Input'!$O111)</f>
        <v/>
      </c>
      <c r="Q111" s="102">
        <f>IF($N111="Normal","",IF($N111="Stalled reading / possibly offline","核查表计通信/Electricity池/网关/阀门Status",IF(AND($H111="Water",$N111&lt;&gt;"Normal"),"检查管网、阀门、卫生间、冷却塔及夜间最小流量",IF(AND($H111="Electricity",$N111&lt;&gt;"Normal"),"检查空调、照明、生产设备、PeakOff-peak时段与待机功耗",IF(AND($H111="Gas",$N111&lt;&gt;"Normal"),"检查燃Gas阀门、锅炉/厨房设备与泄漏风险","核查设备工况、排班、产量与计量数据")))))</f>
        <v/>
      </c>
      <c r="R111" s="102">
        <f>IF($H111="","",IFERROR(VLOOKUP($H111,'Base Settings'!$A$13:$K$19,11,FALSE),"Energy management owner"))</f>
        <v/>
      </c>
      <c r="S111" s="102">
        <f>IF($N111="","",IF($N111="Normal","No action needed","Open"))</f>
        <v/>
      </c>
      <c r="T111" s="141">
        <f>IF(OR($B111="",$N111="Normal"),"",WORKDAY($B111,IF($O111="Severe",1,IF($O111="High",2,3))))</f>
        <v/>
      </c>
      <c r="U111" s="102">
        <f>IF($T111="","",IF(AND($S111&lt;&gt;"Closed",TODAY()&gt;$T111),"Overdue","Not overdue"))</f>
        <v/>
      </c>
      <c r="V111" s="102" t="n"/>
      <c r="W111" s="141" t="n"/>
      <c r="X111" s="102" t="n"/>
    </row>
    <row r="112">
      <c r="A112" s="102">
        <f>IF('Energy Data Input'!$A112="","","AL-"&amp;TEXT(ROW()-5,"0000"))</f>
        <v/>
      </c>
      <c r="B112" s="141">
        <f>IF('Energy Data Input'!$B112="","",'Energy Data Input'!$B112)</f>
        <v/>
      </c>
      <c r="C112" s="102">
        <f>IF('Energy Data Input'!$C112="","",'Energy Data Input'!$C112)</f>
        <v/>
      </c>
      <c r="D112" s="102">
        <f>IF('Energy Data Input'!$D112="","",'Energy Data Input'!$D112)</f>
        <v/>
      </c>
      <c r="E112" s="102">
        <f>IF('Energy Data Input'!$E112="","",'Energy Data Input'!$E112)</f>
        <v/>
      </c>
      <c r="F112" s="102">
        <f>IF('Energy Data Input'!$G112="","",'Energy Data Input'!$G112)</f>
        <v/>
      </c>
      <c r="G112" s="102">
        <f>IF('Energy Data Input'!$H112="","",'Energy Data Input'!$H112)</f>
        <v/>
      </c>
      <c r="H112" s="102">
        <f>IF('Energy Data Input'!$J112="","",'Energy Data Input'!$J112)</f>
        <v/>
      </c>
      <c r="I112" s="142">
        <f>IF('Energy Data Input'!$N112="","",'Energy Data Input'!$N112)</f>
        <v/>
      </c>
      <c r="J112" s="142">
        <f>IF($B112="","",IFERROR(AVERAGEIFS('Energy Data Input'!$N$6:$N$205,'Energy Data Input'!$B$6:$B$205,"&gt;="&amp;$B112-7,'Energy Data Input'!$B$6:$B$205,"&lt;"&amp;$B112,'Energy Data Input'!$H$6:$H$205,$G112,'Energy Data Input'!$J$6:$J$205,$H112),$I112))</f>
        <v/>
      </c>
      <c r="K112" s="143">
        <f>IFERROR(($I112-$J112)/$J112,"")</f>
        <v/>
      </c>
      <c r="L112" s="102">
        <f>IF('Energy Data Input'!$V112="","",'Energy Data Input'!$V112)</f>
        <v/>
      </c>
      <c r="M112" s="102">
        <f>IF($H112="","",IFERROR(VLOOKUP($H112,'Base Settings'!$A$13:$K$19,5,FALSE),0.2))</f>
        <v/>
      </c>
      <c r="N112" s="102">
        <f>IF($B112="","",IF('Energy Data Input'!$L112="","Missing reading",IF($I112=0,"Stalled reading / possibly offline",IF($K112&gt;=IFERROR(VLOOKUP($H112,'Base Settings'!$A$13:$K$19,6,FALSE),0.5),"Severe spike",IF($K112&gt;=$M112,"Usage spike",IF($K112&lt;=-IFERROR(VLOOKUP($H112,'Base Settings'!$A$13:$K$19,7,FALSE),0.3),"Usage drop",IF($L112&gt;IFERROR(VLOOKUP($H112,'Base Settings'!$A$13:$K$19,8,FALSE),999999),"Area intensity overrun","Normal")))))))</f>
        <v/>
      </c>
      <c r="O112" s="102">
        <f>IF($N112="","",IF($N112="Normal","Normal",IF(OR($N112="Severe spike",$K112&gt;=IFERROR(VLOOKUP($H112,'Base Settings'!$A$13:$K$19,6,FALSE),0.5)),"Severe",IF(OR($N112="Usage spike",$N112="Usage drop"),"High","Medium"))))</f>
        <v/>
      </c>
      <c r="P112" s="144">
        <f>IF(OR($N112="",$N112="Normal"),0,ABS($I112-$J112)*'Energy Data Input'!$O112)</f>
        <v/>
      </c>
      <c r="Q112" s="102">
        <f>IF($N112="Normal","",IF($N112="Stalled reading / possibly offline","核查表计通信/Electricity池/网关/阀门Status",IF(AND($H112="Water",$N112&lt;&gt;"Normal"),"检查管网、阀门、卫生间、冷却塔及夜间最小流量",IF(AND($H112="Electricity",$N112&lt;&gt;"Normal"),"检查空调、照明、生产设备、PeakOff-peak时段与待机功耗",IF(AND($H112="Gas",$N112&lt;&gt;"Normal"),"检查燃Gas阀门、锅炉/厨房设备与泄漏风险","核查设备工况、排班、产量与计量数据")))))</f>
        <v/>
      </c>
      <c r="R112" s="102">
        <f>IF($H112="","",IFERROR(VLOOKUP($H112,'Base Settings'!$A$13:$K$19,11,FALSE),"Energy management owner"))</f>
        <v/>
      </c>
      <c r="S112" s="102">
        <f>IF($N112="","",IF($N112="Normal","No action needed","Open"))</f>
        <v/>
      </c>
      <c r="T112" s="141">
        <f>IF(OR($B112="",$N112="Normal"),"",WORKDAY($B112,IF($O112="Severe",1,IF($O112="High",2,3))))</f>
        <v/>
      </c>
      <c r="U112" s="102">
        <f>IF($T112="","",IF(AND($S112&lt;&gt;"Closed",TODAY()&gt;$T112),"Overdue","Not overdue"))</f>
        <v/>
      </c>
      <c r="V112" s="102" t="n"/>
      <c r="W112" s="141" t="n"/>
      <c r="X112" s="102" t="n"/>
    </row>
    <row r="113">
      <c r="A113" s="102">
        <f>IF('Energy Data Input'!$A113="","","AL-"&amp;TEXT(ROW()-5,"0000"))</f>
        <v/>
      </c>
      <c r="B113" s="141">
        <f>IF('Energy Data Input'!$B113="","",'Energy Data Input'!$B113)</f>
        <v/>
      </c>
      <c r="C113" s="102">
        <f>IF('Energy Data Input'!$C113="","",'Energy Data Input'!$C113)</f>
        <v/>
      </c>
      <c r="D113" s="102">
        <f>IF('Energy Data Input'!$D113="","",'Energy Data Input'!$D113)</f>
        <v/>
      </c>
      <c r="E113" s="102">
        <f>IF('Energy Data Input'!$E113="","",'Energy Data Input'!$E113)</f>
        <v/>
      </c>
      <c r="F113" s="102">
        <f>IF('Energy Data Input'!$G113="","",'Energy Data Input'!$G113)</f>
        <v/>
      </c>
      <c r="G113" s="102">
        <f>IF('Energy Data Input'!$H113="","",'Energy Data Input'!$H113)</f>
        <v/>
      </c>
      <c r="H113" s="102">
        <f>IF('Energy Data Input'!$J113="","",'Energy Data Input'!$J113)</f>
        <v/>
      </c>
      <c r="I113" s="142">
        <f>IF('Energy Data Input'!$N113="","",'Energy Data Input'!$N113)</f>
        <v/>
      </c>
      <c r="J113" s="142">
        <f>IF($B113="","",IFERROR(AVERAGEIFS('Energy Data Input'!$N$6:$N$205,'Energy Data Input'!$B$6:$B$205,"&gt;="&amp;$B113-7,'Energy Data Input'!$B$6:$B$205,"&lt;"&amp;$B113,'Energy Data Input'!$H$6:$H$205,$G113,'Energy Data Input'!$J$6:$J$205,$H113),$I113))</f>
        <v/>
      </c>
      <c r="K113" s="143">
        <f>IFERROR(($I113-$J113)/$J113,"")</f>
        <v/>
      </c>
      <c r="L113" s="102">
        <f>IF('Energy Data Input'!$V113="","",'Energy Data Input'!$V113)</f>
        <v/>
      </c>
      <c r="M113" s="102">
        <f>IF($H113="","",IFERROR(VLOOKUP($H113,'Base Settings'!$A$13:$K$19,5,FALSE),0.2))</f>
        <v/>
      </c>
      <c r="N113" s="102">
        <f>IF($B113="","",IF('Energy Data Input'!$L113="","Missing reading",IF($I113=0,"Stalled reading / possibly offline",IF($K113&gt;=IFERROR(VLOOKUP($H113,'Base Settings'!$A$13:$K$19,6,FALSE),0.5),"Severe spike",IF($K113&gt;=$M113,"Usage spike",IF($K113&lt;=-IFERROR(VLOOKUP($H113,'Base Settings'!$A$13:$K$19,7,FALSE),0.3),"Usage drop",IF($L113&gt;IFERROR(VLOOKUP($H113,'Base Settings'!$A$13:$K$19,8,FALSE),999999),"Area intensity overrun","Normal")))))))</f>
        <v/>
      </c>
      <c r="O113" s="102">
        <f>IF($N113="","",IF($N113="Normal","Normal",IF(OR($N113="Severe spike",$K113&gt;=IFERROR(VLOOKUP($H113,'Base Settings'!$A$13:$K$19,6,FALSE),0.5)),"Severe",IF(OR($N113="Usage spike",$N113="Usage drop"),"High","Medium"))))</f>
        <v/>
      </c>
      <c r="P113" s="144">
        <f>IF(OR($N113="",$N113="Normal"),0,ABS($I113-$J113)*'Energy Data Input'!$O113)</f>
        <v/>
      </c>
      <c r="Q113" s="102">
        <f>IF($N113="Normal","",IF($N113="Stalled reading / possibly offline","核查表计通信/Electricity池/网关/阀门Status",IF(AND($H113="Water",$N113&lt;&gt;"Normal"),"检查管网、阀门、卫生间、冷却塔及夜间最小流量",IF(AND($H113="Electricity",$N113&lt;&gt;"Normal"),"检查空调、照明、生产设备、PeakOff-peak时段与待机功耗",IF(AND($H113="Gas",$N113&lt;&gt;"Normal"),"检查燃Gas阀门、锅炉/厨房设备与泄漏风险","核查设备工况、排班、产量与计量数据")))))</f>
        <v/>
      </c>
      <c r="R113" s="102">
        <f>IF($H113="","",IFERROR(VLOOKUP($H113,'Base Settings'!$A$13:$K$19,11,FALSE),"Energy management owner"))</f>
        <v/>
      </c>
      <c r="S113" s="102">
        <f>IF($N113="","",IF($N113="Normal","No action needed","Open"))</f>
        <v/>
      </c>
      <c r="T113" s="141">
        <f>IF(OR($B113="",$N113="Normal"),"",WORKDAY($B113,IF($O113="Severe",1,IF($O113="High",2,3))))</f>
        <v/>
      </c>
      <c r="U113" s="102">
        <f>IF($T113="","",IF(AND($S113&lt;&gt;"Closed",TODAY()&gt;$T113),"Overdue","Not overdue"))</f>
        <v/>
      </c>
      <c r="V113" s="102" t="n"/>
      <c r="W113" s="141" t="n"/>
      <c r="X113" s="102" t="n"/>
    </row>
    <row r="114">
      <c r="A114" s="102">
        <f>IF('Energy Data Input'!$A114="","","AL-"&amp;TEXT(ROW()-5,"0000"))</f>
        <v/>
      </c>
      <c r="B114" s="141">
        <f>IF('Energy Data Input'!$B114="","",'Energy Data Input'!$B114)</f>
        <v/>
      </c>
      <c r="C114" s="102">
        <f>IF('Energy Data Input'!$C114="","",'Energy Data Input'!$C114)</f>
        <v/>
      </c>
      <c r="D114" s="102">
        <f>IF('Energy Data Input'!$D114="","",'Energy Data Input'!$D114)</f>
        <v/>
      </c>
      <c r="E114" s="102">
        <f>IF('Energy Data Input'!$E114="","",'Energy Data Input'!$E114)</f>
        <v/>
      </c>
      <c r="F114" s="102">
        <f>IF('Energy Data Input'!$G114="","",'Energy Data Input'!$G114)</f>
        <v/>
      </c>
      <c r="G114" s="102">
        <f>IF('Energy Data Input'!$H114="","",'Energy Data Input'!$H114)</f>
        <v/>
      </c>
      <c r="H114" s="102">
        <f>IF('Energy Data Input'!$J114="","",'Energy Data Input'!$J114)</f>
        <v/>
      </c>
      <c r="I114" s="142">
        <f>IF('Energy Data Input'!$N114="","",'Energy Data Input'!$N114)</f>
        <v/>
      </c>
      <c r="J114" s="142">
        <f>IF($B114="","",IFERROR(AVERAGEIFS('Energy Data Input'!$N$6:$N$205,'Energy Data Input'!$B$6:$B$205,"&gt;="&amp;$B114-7,'Energy Data Input'!$B$6:$B$205,"&lt;"&amp;$B114,'Energy Data Input'!$H$6:$H$205,$G114,'Energy Data Input'!$J$6:$J$205,$H114),$I114))</f>
        <v/>
      </c>
      <c r="K114" s="143">
        <f>IFERROR(($I114-$J114)/$J114,"")</f>
        <v/>
      </c>
      <c r="L114" s="102">
        <f>IF('Energy Data Input'!$V114="","",'Energy Data Input'!$V114)</f>
        <v/>
      </c>
      <c r="M114" s="102">
        <f>IF($H114="","",IFERROR(VLOOKUP($H114,'Base Settings'!$A$13:$K$19,5,FALSE),0.2))</f>
        <v/>
      </c>
      <c r="N114" s="102">
        <f>IF($B114="","",IF('Energy Data Input'!$L114="","Missing reading",IF($I114=0,"Stalled reading / possibly offline",IF($K114&gt;=IFERROR(VLOOKUP($H114,'Base Settings'!$A$13:$K$19,6,FALSE),0.5),"Severe spike",IF($K114&gt;=$M114,"Usage spike",IF($K114&lt;=-IFERROR(VLOOKUP($H114,'Base Settings'!$A$13:$K$19,7,FALSE),0.3),"Usage drop",IF($L114&gt;IFERROR(VLOOKUP($H114,'Base Settings'!$A$13:$K$19,8,FALSE),999999),"Area intensity overrun","Normal")))))))</f>
        <v/>
      </c>
      <c r="O114" s="102">
        <f>IF($N114="","",IF($N114="Normal","Normal",IF(OR($N114="Severe spike",$K114&gt;=IFERROR(VLOOKUP($H114,'Base Settings'!$A$13:$K$19,6,FALSE),0.5)),"Severe",IF(OR($N114="Usage spike",$N114="Usage drop"),"High","Medium"))))</f>
        <v/>
      </c>
      <c r="P114" s="144">
        <f>IF(OR($N114="",$N114="Normal"),0,ABS($I114-$J114)*'Energy Data Input'!$O114)</f>
        <v/>
      </c>
      <c r="Q114" s="102">
        <f>IF($N114="Normal","",IF($N114="Stalled reading / possibly offline","核查表计通信/Electricity池/网关/阀门Status",IF(AND($H114="Water",$N114&lt;&gt;"Normal"),"检查管网、阀门、卫生间、冷却塔及夜间最小流量",IF(AND($H114="Electricity",$N114&lt;&gt;"Normal"),"检查空调、照明、生产设备、PeakOff-peak时段与待机功耗",IF(AND($H114="Gas",$N114&lt;&gt;"Normal"),"检查燃Gas阀门、锅炉/厨房设备与泄漏风险","核查设备工况、排班、产量与计量数据")))))</f>
        <v/>
      </c>
      <c r="R114" s="102">
        <f>IF($H114="","",IFERROR(VLOOKUP($H114,'Base Settings'!$A$13:$K$19,11,FALSE),"Energy management owner"))</f>
        <v/>
      </c>
      <c r="S114" s="102">
        <f>IF($N114="","",IF($N114="Normal","No action needed","Open"))</f>
        <v/>
      </c>
      <c r="T114" s="141">
        <f>IF(OR($B114="",$N114="Normal"),"",WORKDAY($B114,IF($O114="Severe",1,IF($O114="High",2,3))))</f>
        <v/>
      </c>
      <c r="U114" s="102">
        <f>IF($T114="","",IF(AND($S114&lt;&gt;"Closed",TODAY()&gt;$T114),"Overdue","Not overdue"))</f>
        <v/>
      </c>
      <c r="V114" s="102" t="n"/>
      <c r="W114" s="141" t="n"/>
      <c r="X114" s="102" t="n"/>
    </row>
    <row r="115">
      <c r="A115" s="102">
        <f>IF('Energy Data Input'!$A115="","","AL-"&amp;TEXT(ROW()-5,"0000"))</f>
        <v/>
      </c>
      <c r="B115" s="141">
        <f>IF('Energy Data Input'!$B115="","",'Energy Data Input'!$B115)</f>
        <v/>
      </c>
      <c r="C115" s="102">
        <f>IF('Energy Data Input'!$C115="","",'Energy Data Input'!$C115)</f>
        <v/>
      </c>
      <c r="D115" s="102">
        <f>IF('Energy Data Input'!$D115="","",'Energy Data Input'!$D115)</f>
        <v/>
      </c>
      <c r="E115" s="102">
        <f>IF('Energy Data Input'!$E115="","",'Energy Data Input'!$E115)</f>
        <v/>
      </c>
      <c r="F115" s="102">
        <f>IF('Energy Data Input'!$G115="","",'Energy Data Input'!$G115)</f>
        <v/>
      </c>
      <c r="G115" s="102">
        <f>IF('Energy Data Input'!$H115="","",'Energy Data Input'!$H115)</f>
        <v/>
      </c>
      <c r="H115" s="102">
        <f>IF('Energy Data Input'!$J115="","",'Energy Data Input'!$J115)</f>
        <v/>
      </c>
      <c r="I115" s="142">
        <f>IF('Energy Data Input'!$N115="","",'Energy Data Input'!$N115)</f>
        <v/>
      </c>
      <c r="J115" s="142">
        <f>IF($B115="","",IFERROR(AVERAGEIFS('Energy Data Input'!$N$6:$N$205,'Energy Data Input'!$B$6:$B$205,"&gt;="&amp;$B115-7,'Energy Data Input'!$B$6:$B$205,"&lt;"&amp;$B115,'Energy Data Input'!$H$6:$H$205,$G115,'Energy Data Input'!$J$6:$J$205,$H115),$I115))</f>
        <v/>
      </c>
      <c r="K115" s="143">
        <f>IFERROR(($I115-$J115)/$J115,"")</f>
        <v/>
      </c>
      <c r="L115" s="102">
        <f>IF('Energy Data Input'!$V115="","",'Energy Data Input'!$V115)</f>
        <v/>
      </c>
      <c r="M115" s="102">
        <f>IF($H115="","",IFERROR(VLOOKUP($H115,'Base Settings'!$A$13:$K$19,5,FALSE),0.2))</f>
        <v/>
      </c>
      <c r="N115" s="102">
        <f>IF($B115="","",IF('Energy Data Input'!$L115="","Missing reading",IF($I115=0,"Stalled reading / possibly offline",IF($K115&gt;=IFERROR(VLOOKUP($H115,'Base Settings'!$A$13:$K$19,6,FALSE),0.5),"Severe spike",IF($K115&gt;=$M115,"Usage spike",IF($K115&lt;=-IFERROR(VLOOKUP($H115,'Base Settings'!$A$13:$K$19,7,FALSE),0.3),"Usage drop",IF($L115&gt;IFERROR(VLOOKUP($H115,'Base Settings'!$A$13:$K$19,8,FALSE),999999),"Area intensity overrun","Normal")))))))</f>
        <v/>
      </c>
      <c r="O115" s="102">
        <f>IF($N115="","",IF($N115="Normal","Normal",IF(OR($N115="Severe spike",$K115&gt;=IFERROR(VLOOKUP($H115,'Base Settings'!$A$13:$K$19,6,FALSE),0.5)),"Severe",IF(OR($N115="Usage spike",$N115="Usage drop"),"High","Medium"))))</f>
        <v/>
      </c>
      <c r="P115" s="144">
        <f>IF(OR($N115="",$N115="Normal"),0,ABS($I115-$J115)*'Energy Data Input'!$O115)</f>
        <v/>
      </c>
      <c r="Q115" s="102">
        <f>IF($N115="Normal","",IF($N115="Stalled reading / possibly offline","核查表计通信/Electricity池/网关/阀门Status",IF(AND($H115="Water",$N115&lt;&gt;"Normal"),"检查管网、阀门、卫生间、冷却塔及夜间最小流量",IF(AND($H115="Electricity",$N115&lt;&gt;"Normal"),"检查空调、照明、生产设备、PeakOff-peak时段与待机功耗",IF(AND($H115="Gas",$N115&lt;&gt;"Normal"),"检查燃Gas阀门、锅炉/厨房设备与泄漏风险","核查设备工况、排班、产量与计量数据")))))</f>
        <v/>
      </c>
      <c r="R115" s="102">
        <f>IF($H115="","",IFERROR(VLOOKUP($H115,'Base Settings'!$A$13:$K$19,11,FALSE),"Energy management owner"))</f>
        <v/>
      </c>
      <c r="S115" s="102">
        <f>IF($N115="","",IF($N115="Normal","No action needed","Open"))</f>
        <v/>
      </c>
      <c r="T115" s="141">
        <f>IF(OR($B115="",$N115="Normal"),"",WORKDAY($B115,IF($O115="Severe",1,IF($O115="High",2,3))))</f>
        <v/>
      </c>
      <c r="U115" s="102">
        <f>IF($T115="","",IF(AND($S115&lt;&gt;"Closed",TODAY()&gt;$T115),"Overdue","Not overdue"))</f>
        <v/>
      </c>
      <c r="V115" s="102" t="n"/>
      <c r="W115" s="141" t="n"/>
      <c r="X115" s="102" t="n"/>
    </row>
    <row r="116">
      <c r="A116" s="102">
        <f>IF('Energy Data Input'!$A116="","","AL-"&amp;TEXT(ROW()-5,"0000"))</f>
        <v/>
      </c>
      <c r="B116" s="141">
        <f>IF('Energy Data Input'!$B116="","",'Energy Data Input'!$B116)</f>
        <v/>
      </c>
      <c r="C116" s="102">
        <f>IF('Energy Data Input'!$C116="","",'Energy Data Input'!$C116)</f>
        <v/>
      </c>
      <c r="D116" s="102">
        <f>IF('Energy Data Input'!$D116="","",'Energy Data Input'!$D116)</f>
        <v/>
      </c>
      <c r="E116" s="102">
        <f>IF('Energy Data Input'!$E116="","",'Energy Data Input'!$E116)</f>
        <v/>
      </c>
      <c r="F116" s="102">
        <f>IF('Energy Data Input'!$G116="","",'Energy Data Input'!$G116)</f>
        <v/>
      </c>
      <c r="G116" s="102">
        <f>IF('Energy Data Input'!$H116="","",'Energy Data Input'!$H116)</f>
        <v/>
      </c>
      <c r="H116" s="102">
        <f>IF('Energy Data Input'!$J116="","",'Energy Data Input'!$J116)</f>
        <v/>
      </c>
      <c r="I116" s="142">
        <f>IF('Energy Data Input'!$N116="","",'Energy Data Input'!$N116)</f>
        <v/>
      </c>
      <c r="J116" s="142">
        <f>IF($B116="","",IFERROR(AVERAGEIFS('Energy Data Input'!$N$6:$N$205,'Energy Data Input'!$B$6:$B$205,"&gt;="&amp;$B116-7,'Energy Data Input'!$B$6:$B$205,"&lt;"&amp;$B116,'Energy Data Input'!$H$6:$H$205,$G116,'Energy Data Input'!$J$6:$J$205,$H116),$I116))</f>
        <v/>
      </c>
      <c r="K116" s="143">
        <f>IFERROR(($I116-$J116)/$J116,"")</f>
        <v/>
      </c>
      <c r="L116" s="102">
        <f>IF('Energy Data Input'!$V116="","",'Energy Data Input'!$V116)</f>
        <v/>
      </c>
      <c r="M116" s="102">
        <f>IF($H116="","",IFERROR(VLOOKUP($H116,'Base Settings'!$A$13:$K$19,5,FALSE),0.2))</f>
        <v/>
      </c>
      <c r="N116" s="102">
        <f>IF($B116="","",IF('Energy Data Input'!$L116="","Missing reading",IF($I116=0,"Stalled reading / possibly offline",IF($K116&gt;=IFERROR(VLOOKUP($H116,'Base Settings'!$A$13:$K$19,6,FALSE),0.5),"Severe spike",IF($K116&gt;=$M116,"Usage spike",IF($K116&lt;=-IFERROR(VLOOKUP($H116,'Base Settings'!$A$13:$K$19,7,FALSE),0.3),"Usage drop",IF($L116&gt;IFERROR(VLOOKUP($H116,'Base Settings'!$A$13:$K$19,8,FALSE),999999),"Area intensity overrun","Normal")))))))</f>
        <v/>
      </c>
      <c r="O116" s="102">
        <f>IF($N116="","",IF($N116="Normal","Normal",IF(OR($N116="Severe spike",$K116&gt;=IFERROR(VLOOKUP($H116,'Base Settings'!$A$13:$K$19,6,FALSE),0.5)),"Severe",IF(OR($N116="Usage spike",$N116="Usage drop"),"High","Medium"))))</f>
        <v/>
      </c>
      <c r="P116" s="144">
        <f>IF(OR($N116="",$N116="Normal"),0,ABS($I116-$J116)*'Energy Data Input'!$O116)</f>
        <v/>
      </c>
      <c r="Q116" s="102">
        <f>IF($N116="Normal","",IF($N116="Stalled reading / possibly offline","核查表计通信/Electricity池/网关/阀门Status",IF(AND($H116="Water",$N116&lt;&gt;"Normal"),"检查管网、阀门、卫生间、冷却塔及夜间最小流量",IF(AND($H116="Electricity",$N116&lt;&gt;"Normal"),"检查空调、照明、生产设备、PeakOff-peak时段与待机功耗",IF(AND($H116="Gas",$N116&lt;&gt;"Normal"),"检查燃Gas阀门、锅炉/厨房设备与泄漏风险","核查设备工况、排班、产量与计量数据")))))</f>
        <v/>
      </c>
      <c r="R116" s="102">
        <f>IF($H116="","",IFERROR(VLOOKUP($H116,'Base Settings'!$A$13:$K$19,11,FALSE),"Energy management owner"))</f>
        <v/>
      </c>
      <c r="S116" s="102">
        <f>IF($N116="","",IF($N116="Normal","No action needed","Open"))</f>
        <v/>
      </c>
      <c r="T116" s="141">
        <f>IF(OR($B116="",$N116="Normal"),"",WORKDAY($B116,IF($O116="Severe",1,IF($O116="High",2,3))))</f>
        <v/>
      </c>
      <c r="U116" s="102">
        <f>IF($T116="","",IF(AND($S116&lt;&gt;"Closed",TODAY()&gt;$T116),"Overdue","Not overdue"))</f>
        <v/>
      </c>
      <c r="V116" s="102" t="n"/>
      <c r="W116" s="141" t="n"/>
      <c r="X116" s="102" t="n"/>
    </row>
    <row r="117">
      <c r="A117" s="102">
        <f>IF('Energy Data Input'!$A117="","","AL-"&amp;TEXT(ROW()-5,"0000"))</f>
        <v/>
      </c>
      <c r="B117" s="141">
        <f>IF('Energy Data Input'!$B117="","",'Energy Data Input'!$B117)</f>
        <v/>
      </c>
      <c r="C117" s="102">
        <f>IF('Energy Data Input'!$C117="","",'Energy Data Input'!$C117)</f>
        <v/>
      </c>
      <c r="D117" s="102">
        <f>IF('Energy Data Input'!$D117="","",'Energy Data Input'!$D117)</f>
        <v/>
      </c>
      <c r="E117" s="102">
        <f>IF('Energy Data Input'!$E117="","",'Energy Data Input'!$E117)</f>
        <v/>
      </c>
      <c r="F117" s="102">
        <f>IF('Energy Data Input'!$G117="","",'Energy Data Input'!$G117)</f>
        <v/>
      </c>
      <c r="G117" s="102">
        <f>IF('Energy Data Input'!$H117="","",'Energy Data Input'!$H117)</f>
        <v/>
      </c>
      <c r="H117" s="102">
        <f>IF('Energy Data Input'!$J117="","",'Energy Data Input'!$J117)</f>
        <v/>
      </c>
      <c r="I117" s="142">
        <f>IF('Energy Data Input'!$N117="","",'Energy Data Input'!$N117)</f>
        <v/>
      </c>
      <c r="J117" s="142">
        <f>IF($B117="","",IFERROR(AVERAGEIFS('Energy Data Input'!$N$6:$N$205,'Energy Data Input'!$B$6:$B$205,"&gt;="&amp;$B117-7,'Energy Data Input'!$B$6:$B$205,"&lt;"&amp;$B117,'Energy Data Input'!$H$6:$H$205,$G117,'Energy Data Input'!$J$6:$J$205,$H117),$I117))</f>
        <v/>
      </c>
      <c r="K117" s="143">
        <f>IFERROR(($I117-$J117)/$J117,"")</f>
        <v/>
      </c>
      <c r="L117" s="102">
        <f>IF('Energy Data Input'!$V117="","",'Energy Data Input'!$V117)</f>
        <v/>
      </c>
      <c r="M117" s="102">
        <f>IF($H117="","",IFERROR(VLOOKUP($H117,'Base Settings'!$A$13:$K$19,5,FALSE),0.2))</f>
        <v/>
      </c>
      <c r="N117" s="102">
        <f>IF($B117="","",IF('Energy Data Input'!$L117="","Missing reading",IF($I117=0,"Stalled reading / possibly offline",IF($K117&gt;=IFERROR(VLOOKUP($H117,'Base Settings'!$A$13:$K$19,6,FALSE),0.5),"Severe spike",IF($K117&gt;=$M117,"Usage spike",IF($K117&lt;=-IFERROR(VLOOKUP($H117,'Base Settings'!$A$13:$K$19,7,FALSE),0.3),"Usage drop",IF($L117&gt;IFERROR(VLOOKUP($H117,'Base Settings'!$A$13:$K$19,8,FALSE),999999),"Area intensity overrun","Normal")))))))</f>
        <v/>
      </c>
      <c r="O117" s="102">
        <f>IF($N117="","",IF($N117="Normal","Normal",IF(OR($N117="Severe spike",$K117&gt;=IFERROR(VLOOKUP($H117,'Base Settings'!$A$13:$K$19,6,FALSE),0.5)),"Severe",IF(OR($N117="Usage spike",$N117="Usage drop"),"High","Medium"))))</f>
        <v/>
      </c>
      <c r="P117" s="144">
        <f>IF(OR($N117="",$N117="Normal"),0,ABS($I117-$J117)*'Energy Data Input'!$O117)</f>
        <v/>
      </c>
      <c r="Q117" s="102">
        <f>IF($N117="Normal","",IF($N117="Stalled reading / possibly offline","核查表计通信/Electricity池/网关/阀门Status",IF(AND($H117="Water",$N117&lt;&gt;"Normal"),"检查管网、阀门、卫生间、冷却塔及夜间最小流量",IF(AND($H117="Electricity",$N117&lt;&gt;"Normal"),"检查空调、照明、生产设备、PeakOff-peak时段与待机功耗",IF(AND($H117="Gas",$N117&lt;&gt;"Normal"),"检查燃Gas阀门、锅炉/厨房设备与泄漏风险","核查设备工况、排班、产量与计量数据")))))</f>
        <v/>
      </c>
      <c r="R117" s="102">
        <f>IF($H117="","",IFERROR(VLOOKUP($H117,'Base Settings'!$A$13:$K$19,11,FALSE),"Energy management owner"))</f>
        <v/>
      </c>
      <c r="S117" s="102">
        <f>IF($N117="","",IF($N117="Normal","No action needed","Open"))</f>
        <v/>
      </c>
      <c r="T117" s="141">
        <f>IF(OR($B117="",$N117="Normal"),"",WORKDAY($B117,IF($O117="Severe",1,IF($O117="High",2,3))))</f>
        <v/>
      </c>
      <c r="U117" s="102">
        <f>IF($T117="","",IF(AND($S117&lt;&gt;"Closed",TODAY()&gt;$T117),"Overdue","Not overdue"))</f>
        <v/>
      </c>
      <c r="V117" s="102" t="n"/>
      <c r="W117" s="141" t="n"/>
      <c r="X117" s="102" t="n"/>
    </row>
    <row r="118">
      <c r="A118" s="102">
        <f>IF('Energy Data Input'!$A118="","","AL-"&amp;TEXT(ROW()-5,"0000"))</f>
        <v/>
      </c>
      <c r="B118" s="141">
        <f>IF('Energy Data Input'!$B118="","",'Energy Data Input'!$B118)</f>
        <v/>
      </c>
      <c r="C118" s="102">
        <f>IF('Energy Data Input'!$C118="","",'Energy Data Input'!$C118)</f>
        <v/>
      </c>
      <c r="D118" s="102">
        <f>IF('Energy Data Input'!$D118="","",'Energy Data Input'!$D118)</f>
        <v/>
      </c>
      <c r="E118" s="102">
        <f>IF('Energy Data Input'!$E118="","",'Energy Data Input'!$E118)</f>
        <v/>
      </c>
      <c r="F118" s="102">
        <f>IF('Energy Data Input'!$G118="","",'Energy Data Input'!$G118)</f>
        <v/>
      </c>
      <c r="G118" s="102">
        <f>IF('Energy Data Input'!$H118="","",'Energy Data Input'!$H118)</f>
        <v/>
      </c>
      <c r="H118" s="102">
        <f>IF('Energy Data Input'!$J118="","",'Energy Data Input'!$J118)</f>
        <v/>
      </c>
      <c r="I118" s="142">
        <f>IF('Energy Data Input'!$N118="","",'Energy Data Input'!$N118)</f>
        <v/>
      </c>
      <c r="J118" s="142">
        <f>IF($B118="","",IFERROR(AVERAGEIFS('Energy Data Input'!$N$6:$N$205,'Energy Data Input'!$B$6:$B$205,"&gt;="&amp;$B118-7,'Energy Data Input'!$B$6:$B$205,"&lt;"&amp;$B118,'Energy Data Input'!$H$6:$H$205,$G118,'Energy Data Input'!$J$6:$J$205,$H118),$I118))</f>
        <v/>
      </c>
      <c r="K118" s="143">
        <f>IFERROR(($I118-$J118)/$J118,"")</f>
        <v/>
      </c>
      <c r="L118" s="102">
        <f>IF('Energy Data Input'!$V118="","",'Energy Data Input'!$V118)</f>
        <v/>
      </c>
      <c r="M118" s="102">
        <f>IF($H118="","",IFERROR(VLOOKUP($H118,'Base Settings'!$A$13:$K$19,5,FALSE),0.2))</f>
        <v/>
      </c>
      <c r="N118" s="102">
        <f>IF($B118="","",IF('Energy Data Input'!$L118="","Missing reading",IF($I118=0,"Stalled reading / possibly offline",IF($K118&gt;=IFERROR(VLOOKUP($H118,'Base Settings'!$A$13:$K$19,6,FALSE),0.5),"Severe spike",IF($K118&gt;=$M118,"Usage spike",IF($K118&lt;=-IFERROR(VLOOKUP($H118,'Base Settings'!$A$13:$K$19,7,FALSE),0.3),"Usage drop",IF($L118&gt;IFERROR(VLOOKUP($H118,'Base Settings'!$A$13:$K$19,8,FALSE),999999),"Area intensity overrun","Normal")))))))</f>
        <v/>
      </c>
      <c r="O118" s="102">
        <f>IF($N118="","",IF($N118="Normal","Normal",IF(OR($N118="Severe spike",$K118&gt;=IFERROR(VLOOKUP($H118,'Base Settings'!$A$13:$K$19,6,FALSE),0.5)),"Severe",IF(OR($N118="Usage spike",$N118="Usage drop"),"High","Medium"))))</f>
        <v/>
      </c>
      <c r="P118" s="144">
        <f>IF(OR($N118="",$N118="Normal"),0,ABS($I118-$J118)*'Energy Data Input'!$O118)</f>
        <v/>
      </c>
      <c r="Q118" s="102">
        <f>IF($N118="Normal","",IF($N118="Stalled reading / possibly offline","核查表计通信/Electricity池/网关/阀门Status",IF(AND($H118="Water",$N118&lt;&gt;"Normal"),"检查管网、阀门、卫生间、冷却塔及夜间最小流量",IF(AND($H118="Electricity",$N118&lt;&gt;"Normal"),"检查空调、照明、生产设备、PeakOff-peak时段与待机功耗",IF(AND($H118="Gas",$N118&lt;&gt;"Normal"),"检查燃Gas阀门、锅炉/厨房设备与泄漏风险","核查设备工况、排班、产量与计量数据")))))</f>
        <v/>
      </c>
      <c r="R118" s="102">
        <f>IF($H118="","",IFERROR(VLOOKUP($H118,'Base Settings'!$A$13:$K$19,11,FALSE),"Energy management owner"))</f>
        <v/>
      </c>
      <c r="S118" s="102">
        <f>IF($N118="","",IF($N118="Normal","No action needed","Open"))</f>
        <v/>
      </c>
      <c r="T118" s="141">
        <f>IF(OR($B118="",$N118="Normal"),"",WORKDAY($B118,IF($O118="Severe",1,IF($O118="High",2,3))))</f>
        <v/>
      </c>
      <c r="U118" s="102">
        <f>IF($T118="","",IF(AND($S118&lt;&gt;"Closed",TODAY()&gt;$T118),"Overdue","Not overdue"))</f>
        <v/>
      </c>
      <c r="V118" s="102" t="n"/>
      <c r="W118" s="141" t="n"/>
      <c r="X118" s="102" t="n"/>
    </row>
    <row r="119">
      <c r="A119" s="102">
        <f>IF('Energy Data Input'!$A119="","","AL-"&amp;TEXT(ROW()-5,"0000"))</f>
        <v/>
      </c>
      <c r="B119" s="141">
        <f>IF('Energy Data Input'!$B119="","",'Energy Data Input'!$B119)</f>
        <v/>
      </c>
      <c r="C119" s="102">
        <f>IF('Energy Data Input'!$C119="","",'Energy Data Input'!$C119)</f>
        <v/>
      </c>
      <c r="D119" s="102">
        <f>IF('Energy Data Input'!$D119="","",'Energy Data Input'!$D119)</f>
        <v/>
      </c>
      <c r="E119" s="102">
        <f>IF('Energy Data Input'!$E119="","",'Energy Data Input'!$E119)</f>
        <v/>
      </c>
      <c r="F119" s="102">
        <f>IF('Energy Data Input'!$G119="","",'Energy Data Input'!$G119)</f>
        <v/>
      </c>
      <c r="G119" s="102">
        <f>IF('Energy Data Input'!$H119="","",'Energy Data Input'!$H119)</f>
        <v/>
      </c>
      <c r="H119" s="102">
        <f>IF('Energy Data Input'!$J119="","",'Energy Data Input'!$J119)</f>
        <v/>
      </c>
      <c r="I119" s="142">
        <f>IF('Energy Data Input'!$N119="","",'Energy Data Input'!$N119)</f>
        <v/>
      </c>
      <c r="J119" s="142">
        <f>IF($B119="","",IFERROR(AVERAGEIFS('Energy Data Input'!$N$6:$N$205,'Energy Data Input'!$B$6:$B$205,"&gt;="&amp;$B119-7,'Energy Data Input'!$B$6:$B$205,"&lt;"&amp;$B119,'Energy Data Input'!$H$6:$H$205,$G119,'Energy Data Input'!$J$6:$J$205,$H119),$I119))</f>
        <v/>
      </c>
      <c r="K119" s="143">
        <f>IFERROR(($I119-$J119)/$J119,"")</f>
        <v/>
      </c>
      <c r="L119" s="102">
        <f>IF('Energy Data Input'!$V119="","",'Energy Data Input'!$V119)</f>
        <v/>
      </c>
      <c r="M119" s="102">
        <f>IF($H119="","",IFERROR(VLOOKUP($H119,'Base Settings'!$A$13:$K$19,5,FALSE),0.2))</f>
        <v/>
      </c>
      <c r="N119" s="102">
        <f>IF($B119="","",IF('Energy Data Input'!$L119="","Missing reading",IF($I119=0,"Stalled reading / possibly offline",IF($K119&gt;=IFERROR(VLOOKUP($H119,'Base Settings'!$A$13:$K$19,6,FALSE),0.5),"Severe spike",IF($K119&gt;=$M119,"Usage spike",IF($K119&lt;=-IFERROR(VLOOKUP($H119,'Base Settings'!$A$13:$K$19,7,FALSE),0.3),"Usage drop",IF($L119&gt;IFERROR(VLOOKUP($H119,'Base Settings'!$A$13:$K$19,8,FALSE),999999),"Area intensity overrun","Normal")))))))</f>
        <v/>
      </c>
      <c r="O119" s="102">
        <f>IF($N119="","",IF($N119="Normal","Normal",IF(OR($N119="Severe spike",$K119&gt;=IFERROR(VLOOKUP($H119,'Base Settings'!$A$13:$K$19,6,FALSE),0.5)),"Severe",IF(OR($N119="Usage spike",$N119="Usage drop"),"High","Medium"))))</f>
        <v/>
      </c>
      <c r="P119" s="144">
        <f>IF(OR($N119="",$N119="Normal"),0,ABS($I119-$J119)*'Energy Data Input'!$O119)</f>
        <v/>
      </c>
      <c r="Q119" s="102">
        <f>IF($N119="Normal","",IF($N119="Stalled reading / possibly offline","核查表计通信/Electricity池/网关/阀门Status",IF(AND($H119="Water",$N119&lt;&gt;"Normal"),"检查管网、阀门、卫生间、冷却塔及夜间最小流量",IF(AND($H119="Electricity",$N119&lt;&gt;"Normal"),"检查空调、照明、生产设备、PeakOff-peak时段与待机功耗",IF(AND($H119="Gas",$N119&lt;&gt;"Normal"),"检查燃Gas阀门、锅炉/厨房设备与泄漏风险","核查设备工况、排班、产量与计量数据")))))</f>
        <v/>
      </c>
      <c r="R119" s="102">
        <f>IF($H119="","",IFERROR(VLOOKUP($H119,'Base Settings'!$A$13:$K$19,11,FALSE),"Energy management owner"))</f>
        <v/>
      </c>
      <c r="S119" s="102">
        <f>IF($N119="","",IF($N119="Normal","No action needed","Open"))</f>
        <v/>
      </c>
      <c r="T119" s="141">
        <f>IF(OR($B119="",$N119="Normal"),"",WORKDAY($B119,IF($O119="Severe",1,IF($O119="High",2,3))))</f>
        <v/>
      </c>
      <c r="U119" s="102">
        <f>IF($T119="","",IF(AND($S119&lt;&gt;"Closed",TODAY()&gt;$T119),"Overdue","Not overdue"))</f>
        <v/>
      </c>
      <c r="V119" s="102" t="n"/>
      <c r="W119" s="141" t="n"/>
      <c r="X119" s="102" t="n"/>
    </row>
    <row r="120">
      <c r="A120" s="102">
        <f>IF('Energy Data Input'!$A120="","","AL-"&amp;TEXT(ROW()-5,"0000"))</f>
        <v/>
      </c>
      <c r="B120" s="141">
        <f>IF('Energy Data Input'!$B120="","",'Energy Data Input'!$B120)</f>
        <v/>
      </c>
      <c r="C120" s="102">
        <f>IF('Energy Data Input'!$C120="","",'Energy Data Input'!$C120)</f>
        <v/>
      </c>
      <c r="D120" s="102">
        <f>IF('Energy Data Input'!$D120="","",'Energy Data Input'!$D120)</f>
        <v/>
      </c>
      <c r="E120" s="102">
        <f>IF('Energy Data Input'!$E120="","",'Energy Data Input'!$E120)</f>
        <v/>
      </c>
      <c r="F120" s="102">
        <f>IF('Energy Data Input'!$G120="","",'Energy Data Input'!$G120)</f>
        <v/>
      </c>
      <c r="G120" s="102">
        <f>IF('Energy Data Input'!$H120="","",'Energy Data Input'!$H120)</f>
        <v/>
      </c>
      <c r="H120" s="102">
        <f>IF('Energy Data Input'!$J120="","",'Energy Data Input'!$J120)</f>
        <v/>
      </c>
      <c r="I120" s="142">
        <f>IF('Energy Data Input'!$N120="","",'Energy Data Input'!$N120)</f>
        <v/>
      </c>
      <c r="J120" s="142">
        <f>IF($B120="","",IFERROR(AVERAGEIFS('Energy Data Input'!$N$6:$N$205,'Energy Data Input'!$B$6:$B$205,"&gt;="&amp;$B120-7,'Energy Data Input'!$B$6:$B$205,"&lt;"&amp;$B120,'Energy Data Input'!$H$6:$H$205,$G120,'Energy Data Input'!$J$6:$J$205,$H120),$I120))</f>
        <v/>
      </c>
      <c r="K120" s="143">
        <f>IFERROR(($I120-$J120)/$J120,"")</f>
        <v/>
      </c>
      <c r="L120" s="102">
        <f>IF('Energy Data Input'!$V120="","",'Energy Data Input'!$V120)</f>
        <v/>
      </c>
      <c r="M120" s="102">
        <f>IF($H120="","",IFERROR(VLOOKUP($H120,'Base Settings'!$A$13:$K$19,5,FALSE),0.2))</f>
        <v/>
      </c>
      <c r="N120" s="102">
        <f>IF($B120="","",IF('Energy Data Input'!$L120="","Missing reading",IF($I120=0,"Stalled reading / possibly offline",IF($K120&gt;=IFERROR(VLOOKUP($H120,'Base Settings'!$A$13:$K$19,6,FALSE),0.5),"Severe spike",IF($K120&gt;=$M120,"Usage spike",IF($K120&lt;=-IFERROR(VLOOKUP($H120,'Base Settings'!$A$13:$K$19,7,FALSE),0.3),"Usage drop",IF($L120&gt;IFERROR(VLOOKUP($H120,'Base Settings'!$A$13:$K$19,8,FALSE),999999),"Area intensity overrun","Normal")))))))</f>
        <v/>
      </c>
      <c r="O120" s="102">
        <f>IF($N120="","",IF($N120="Normal","Normal",IF(OR($N120="Severe spike",$K120&gt;=IFERROR(VLOOKUP($H120,'Base Settings'!$A$13:$K$19,6,FALSE),0.5)),"Severe",IF(OR($N120="Usage spike",$N120="Usage drop"),"High","Medium"))))</f>
        <v/>
      </c>
      <c r="P120" s="144">
        <f>IF(OR($N120="",$N120="Normal"),0,ABS($I120-$J120)*'Energy Data Input'!$O120)</f>
        <v/>
      </c>
      <c r="Q120" s="102">
        <f>IF($N120="Normal","",IF($N120="Stalled reading / possibly offline","核查表计通信/Electricity池/网关/阀门Status",IF(AND($H120="Water",$N120&lt;&gt;"Normal"),"检查管网、阀门、卫生间、冷却塔及夜间最小流量",IF(AND($H120="Electricity",$N120&lt;&gt;"Normal"),"检查空调、照明、生产设备、PeakOff-peak时段与待机功耗",IF(AND($H120="Gas",$N120&lt;&gt;"Normal"),"检查燃Gas阀门、锅炉/厨房设备与泄漏风险","核查设备工况、排班、产量与计量数据")))))</f>
        <v/>
      </c>
      <c r="R120" s="102">
        <f>IF($H120="","",IFERROR(VLOOKUP($H120,'Base Settings'!$A$13:$K$19,11,FALSE),"Energy management owner"))</f>
        <v/>
      </c>
      <c r="S120" s="102">
        <f>IF($N120="","",IF($N120="Normal","No action needed","Open"))</f>
        <v/>
      </c>
      <c r="T120" s="141">
        <f>IF(OR($B120="",$N120="Normal"),"",WORKDAY($B120,IF($O120="Severe",1,IF($O120="High",2,3))))</f>
        <v/>
      </c>
      <c r="U120" s="102">
        <f>IF($T120="","",IF(AND($S120&lt;&gt;"Closed",TODAY()&gt;$T120),"Overdue","Not overdue"))</f>
        <v/>
      </c>
      <c r="V120" s="102" t="n"/>
      <c r="W120" s="141" t="n"/>
      <c r="X120" s="102" t="n"/>
    </row>
    <row r="121">
      <c r="A121" s="102">
        <f>IF('Energy Data Input'!$A121="","","AL-"&amp;TEXT(ROW()-5,"0000"))</f>
        <v/>
      </c>
      <c r="B121" s="141">
        <f>IF('Energy Data Input'!$B121="","",'Energy Data Input'!$B121)</f>
        <v/>
      </c>
      <c r="C121" s="102">
        <f>IF('Energy Data Input'!$C121="","",'Energy Data Input'!$C121)</f>
        <v/>
      </c>
      <c r="D121" s="102">
        <f>IF('Energy Data Input'!$D121="","",'Energy Data Input'!$D121)</f>
        <v/>
      </c>
      <c r="E121" s="102">
        <f>IF('Energy Data Input'!$E121="","",'Energy Data Input'!$E121)</f>
        <v/>
      </c>
      <c r="F121" s="102">
        <f>IF('Energy Data Input'!$G121="","",'Energy Data Input'!$G121)</f>
        <v/>
      </c>
      <c r="G121" s="102">
        <f>IF('Energy Data Input'!$H121="","",'Energy Data Input'!$H121)</f>
        <v/>
      </c>
      <c r="H121" s="102">
        <f>IF('Energy Data Input'!$J121="","",'Energy Data Input'!$J121)</f>
        <v/>
      </c>
      <c r="I121" s="142">
        <f>IF('Energy Data Input'!$N121="","",'Energy Data Input'!$N121)</f>
        <v/>
      </c>
      <c r="J121" s="142">
        <f>IF($B121="","",IFERROR(AVERAGEIFS('Energy Data Input'!$N$6:$N$205,'Energy Data Input'!$B$6:$B$205,"&gt;="&amp;$B121-7,'Energy Data Input'!$B$6:$B$205,"&lt;"&amp;$B121,'Energy Data Input'!$H$6:$H$205,$G121,'Energy Data Input'!$J$6:$J$205,$H121),$I121))</f>
        <v/>
      </c>
      <c r="K121" s="143">
        <f>IFERROR(($I121-$J121)/$J121,"")</f>
        <v/>
      </c>
      <c r="L121" s="102">
        <f>IF('Energy Data Input'!$V121="","",'Energy Data Input'!$V121)</f>
        <v/>
      </c>
      <c r="M121" s="102">
        <f>IF($H121="","",IFERROR(VLOOKUP($H121,'Base Settings'!$A$13:$K$19,5,FALSE),0.2))</f>
        <v/>
      </c>
      <c r="N121" s="102">
        <f>IF($B121="","",IF('Energy Data Input'!$L121="","Missing reading",IF($I121=0,"Stalled reading / possibly offline",IF($K121&gt;=IFERROR(VLOOKUP($H121,'Base Settings'!$A$13:$K$19,6,FALSE),0.5),"Severe spike",IF($K121&gt;=$M121,"Usage spike",IF($K121&lt;=-IFERROR(VLOOKUP($H121,'Base Settings'!$A$13:$K$19,7,FALSE),0.3),"Usage drop",IF($L121&gt;IFERROR(VLOOKUP($H121,'Base Settings'!$A$13:$K$19,8,FALSE),999999),"Area intensity overrun","Normal")))))))</f>
        <v/>
      </c>
      <c r="O121" s="102">
        <f>IF($N121="","",IF($N121="Normal","Normal",IF(OR($N121="Severe spike",$K121&gt;=IFERROR(VLOOKUP($H121,'Base Settings'!$A$13:$K$19,6,FALSE),0.5)),"Severe",IF(OR($N121="Usage spike",$N121="Usage drop"),"High","Medium"))))</f>
        <v/>
      </c>
      <c r="P121" s="144">
        <f>IF(OR($N121="",$N121="Normal"),0,ABS($I121-$J121)*'Energy Data Input'!$O121)</f>
        <v/>
      </c>
      <c r="Q121" s="102">
        <f>IF($N121="Normal","",IF($N121="Stalled reading / possibly offline","核查表计通信/Electricity池/网关/阀门Status",IF(AND($H121="Water",$N121&lt;&gt;"Normal"),"检查管网、阀门、卫生间、冷却塔及夜间最小流量",IF(AND($H121="Electricity",$N121&lt;&gt;"Normal"),"检查空调、照明、生产设备、PeakOff-peak时段与待机功耗",IF(AND($H121="Gas",$N121&lt;&gt;"Normal"),"检查燃Gas阀门、锅炉/厨房设备与泄漏风险","核查设备工况、排班、产量与计量数据")))))</f>
        <v/>
      </c>
      <c r="R121" s="102">
        <f>IF($H121="","",IFERROR(VLOOKUP($H121,'Base Settings'!$A$13:$K$19,11,FALSE),"Energy management owner"))</f>
        <v/>
      </c>
      <c r="S121" s="102">
        <f>IF($N121="","",IF($N121="Normal","No action needed","Open"))</f>
        <v/>
      </c>
      <c r="T121" s="141">
        <f>IF(OR($B121="",$N121="Normal"),"",WORKDAY($B121,IF($O121="Severe",1,IF($O121="High",2,3))))</f>
        <v/>
      </c>
      <c r="U121" s="102">
        <f>IF($T121="","",IF(AND($S121&lt;&gt;"Closed",TODAY()&gt;$T121),"Overdue","Not overdue"))</f>
        <v/>
      </c>
      <c r="V121" s="102" t="n"/>
      <c r="W121" s="141" t="n"/>
      <c r="X121" s="102" t="n"/>
    </row>
    <row r="122">
      <c r="A122" s="102">
        <f>IF('Energy Data Input'!$A122="","","AL-"&amp;TEXT(ROW()-5,"0000"))</f>
        <v/>
      </c>
      <c r="B122" s="141">
        <f>IF('Energy Data Input'!$B122="","",'Energy Data Input'!$B122)</f>
        <v/>
      </c>
      <c r="C122" s="102">
        <f>IF('Energy Data Input'!$C122="","",'Energy Data Input'!$C122)</f>
        <v/>
      </c>
      <c r="D122" s="102">
        <f>IF('Energy Data Input'!$D122="","",'Energy Data Input'!$D122)</f>
        <v/>
      </c>
      <c r="E122" s="102">
        <f>IF('Energy Data Input'!$E122="","",'Energy Data Input'!$E122)</f>
        <v/>
      </c>
      <c r="F122" s="102">
        <f>IF('Energy Data Input'!$G122="","",'Energy Data Input'!$G122)</f>
        <v/>
      </c>
      <c r="G122" s="102">
        <f>IF('Energy Data Input'!$H122="","",'Energy Data Input'!$H122)</f>
        <v/>
      </c>
      <c r="H122" s="102">
        <f>IF('Energy Data Input'!$J122="","",'Energy Data Input'!$J122)</f>
        <v/>
      </c>
      <c r="I122" s="142">
        <f>IF('Energy Data Input'!$N122="","",'Energy Data Input'!$N122)</f>
        <v/>
      </c>
      <c r="J122" s="142">
        <f>IF($B122="","",IFERROR(AVERAGEIFS('Energy Data Input'!$N$6:$N$205,'Energy Data Input'!$B$6:$B$205,"&gt;="&amp;$B122-7,'Energy Data Input'!$B$6:$B$205,"&lt;"&amp;$B122,'Energy Data Input'!$H$6:$H$205,$G122,'Energy Data Input'!$J$6:$J$205,$H122),$I122))</f>
        <v/>
      </c>
      <c r="K122" s="143">
        <f>IFERROR(($I122-$J122)/$J122,"")</f>
        <v/>
      </c>
      <c r="L122" s="102">
        <f>IF('Energy Data Input'!$V122="","",'Energy Data Input'!$V122)</f>
        <v/>
      </c>
      <c r="M122" s="102">
        <f>IF($H122="","",IFERROR(VLOOKUP($H122,'Base Settings'!$A$13:$K$19,5,FALSE),0.2))</f>
        <v/>
      </c>
      <c r="N122" s="102">
        <f>IF($B122="","",IF('Energy Data Input'!$L122="","Missing reading",IF($I122=0,"Stalled reading / possibly offline",IF($K122&gt;=IFERROR(VLOOKUP($H122,'Base Settings'!$A$13:$K$19,6,FALSE),0.5),"Severe spike",IF($K122&gt;=$M122,"Usage spike",IF($K122&lt;=-IFERROR(VLOOKUP($H122,'Base Settings'!$A$13:$K$19,7,FALSE),0.3),"Usage drop",IF($L122&gt;IFERROR(VLOOKUP($H122,'Base Settings'!$A$13:$K$19,8,FALSE),999999),"Area intensity overrun","Normal")))))))</f>
        <v/>
      </c>
      <c r="O122" s="102">
        <f>IF($N122="","",IF($N122="Normal","Normal",IF(OR($N122="Severe spike",$K122&gt;=IFERROR(VLOOKUP($H122,'Base Settings'!$A$13:$K$19,6,FALSE),0.5)),"Severe",IF(OR($N122="Usage spike",$N122="Usage drop"),"High","Medium"))))</f>
        <v/>
      </c>
      <c r="P122" s="144">
        <f>IF(OR($N122="",$N122="Normal"),0,ABS($I122-$J122)*'Energy Data Input'!$O122)</f>
        <v/>
      </c>
      <c r="Q122" s="102">
        <f>IF($N122="Normal","",IF($N122="Stalled reading / possibly offline","核查表计通信/Electricity池/网关/阀门Status",IF(AND($H122="Water",$N122&lt;&gt;"Normal"),"检查管网、阀门、卫生间、冷却塔及夜间最小流量",IF(AND($H122="Electricity",$N122&lt;&gt;"Normal"),"检查空调、照明、生产设备、PeakOff-peak时段与待机功耗",IF(AND($H122="Gas",$N122&lt;&gt;"Normal"),"检查燃Gas阀门、锅炉/厨房设备与泄漏风险","核查设备工况、排班、产量与计量数据")))))</f>
        <v/>
      </c>
      <c r="R122" s="102">
        <f>IF($H122="","",IFERROR(VLOOKUP($H122,'Base Settings'!$A$13:$K$19,11,FALSE),"Energy management owner"))</f>
        <v/>
      </c>
      <c r="S122" s="102">
        <f>IF($N122="","",IF($N122="Normal","No action needed","Open"))</f>
        <v/>
      </c>
      <c r="T122" s="141">
        <f>IF(OR($B122="",$N122="Normal"),"",WORKDAY($B122,IF($O122="Severe",1,IF($O122="High",2,3))))</f>
        <v/>
      </c>
      <c r="U122" s="102">
        <f>IF($T122="","",IF(AND($S122&lt;&gt;"Closed",TODAY()&gt;$T122),"Overdue","Not overdue"))</f>
        <v/>
      </c>
      <c r="V122" s="102" t="n"/>
      <c r="W122" s="141" t="n"/>
      <c r="X122" s="102" t="n"/>
    </row>
    <row r="123">
      <c r="A123" s="102">
        <f>IF('Energy Data Input'!$A123="","","AL-"&amp;TEXT(ROW()-5,"0000"))</f>
        <v/>
      </c>
      <c r="B123" s="141">
        <f>IF('Energy Data Input'!$B123="","",'Energy Data Input'!$B123)</f>
        <v/>
      </c>
      <c r="C123" s="102">
        <f>IF('Energy Data Input'!$C123="","",'Energy Data Input'!$C123)</f>
        <v/>
      </c>
      <c r="D123" s="102">
        <f>IF('Energy Data Input'!$D123="","",'Energy Data Input'!$D123)</f>
        <v/>
      </c>
      <c r="E123" s="102">
        <f>IF('Energy Data Input'!$E123="","",'Energy Data Input'!$E123)</f>
        <v/>
      </c>
      <c r="F123" s="102">
        <f>IF('Energy Data Input'!$G123="","",'Energy Data Input'!$G123)</f>
        <v/>
      </c>
      <c r="G123" s="102">
        <f>IF('Energy Data Input'!$H123="","",'Energy Data Input'!$H123)</f>
        <v/>
      </c>
      <c r="H123" s="102">
        <f>IF('Energy Data Input'!$J123="","",'Energy Data Input'!$J123)</f>
        <v/>
      </c>
      <c r="I123" s="142">
        <f>IF('Energy Data Input'!$N123="","",'Energy Data Input'!$N123)</f>
        <v/>
      </c>
      <c r="J123" s="142">
        <f>IF($B123="","",IFERROR(AVERAGEIFS('Energy Data Input'!$N$6:$N$205,'Energy Data Input'!$B$6:$B$205,"&gt;="&amp;$B123-7,'Energy Data Input'!$B$6:$B$205,"&lt;"&amp;$B123,'Energy Data Input'!$H$6:$H$205,$G123,'Energy Data Input'!$J$6:$J$205,$H123),$I123))</f>
        <v/>
      </c>
      <c r="K123" s="143">
        <f>IFERROR(($I123-$J123)/$J123,"")</f>
        <v/>
      </c>
      <c r="L123" s="102">
        <f>IF('Energy Data Input'!$V123="","",'Energy Data Input'!$V123)</f>
        <v/>
      </c>
      <c r="M123" s="102">
        <f>IF($H123="","",IFERROR(VLOOKUP($H123,'Base Settings'!$A$13:$K$19,5,FALSE),0.2))</f>
        <v/>
      </c>
      <c r="N123" s="102">
        <f>IF($B123="","",IF('Energy Data Input'!$L123="","Missing reading",IF($I123=0,"Stalled reading / possibly offline",IF($K123&gt;=IFERROR(VLOOKUP($H123,'Base Settings'!$A$13:$K$19,6,FALSE),0.5),"Severe spike",IF($K123&gt;=$M123,"Usage spike",IF($K123&lt;=-IFERROR(VLOOKUP($H123,'Base Settings'!$A$13:$K$19,7,FALSE),0.3),"Usage drop",IF($L123&gt;IFERROR(VLOOKUP($H123,'Base Settings'!$A$13:$K$19,8,FALSE),999999),"Area intensity overrun","Normal")))))))</f>
        <v/>
      </c>
      <c r="O123" s="102">
        <f>IF($N123="","",IF($N123="Normal","Normal",IF(OR($N123="Severe spike",$K123&gt;=IFERROR(VLOOKUP($H123,'Base Settings'!$A$13:$K$19,6,FALSE),0.5)),"Severe",IF(OR($N123="Usage spike",$N123="Usage drop"),"High","Medium"))))</f>
        <v/>
      </c>
      <c r="P123" s="144">
        <f>IF(OR($N123="",$N123="Normal"),0,ABS($I123-$J123)*'Energy Data Input'!$O123)</f>
        <v/>
      </c>
      <c r="Q123" s="102">
        <f>IF($N123="Normal","",IF($N123="Stalled reading / possibly offline","核查表计通信/Electricity池/网关/阀门Status",IF(AND($H123="Water",$N123&lt;&gt;"Normal"),"检查管网、阀门、卫生间、冷却塔及夜间最小流量",IF(AND($H123="Electricity",$N123&lt;&gt;"Normal"),"检查空调、照明、生产设备、PeakOff-peak时段与待机功耗",IF(AND($H123="Gas",$N123&lt;&gt;"Normal"),"检查燃Gas阀门、锅炉/厨房设备与泄漏风险","核查设备工况、排班、产量与计量数据")))))</f>
        <v/>
      </c>
      <c r="R123" s="102">
        <f>IF($H123="","",IFERROR(VLOOKUP($H123,'Base Settings'!$A$13:$K$19,11,FALSE),"Energy management owner"))</f>
        <v/>
      </c>
      <c r="S123" s="102">
        <f>IF($N123="","",IF($N123="Normal","No action needed","Open"))</f>
        <v/>
      </c>
      <c r="T123" s="141">
        <f>IF(OR($B123="",$N123="Normal"),"",WORKDAY($B123,IF($O123="Severe",1,IF($O123="High",2,3))))</f>
        <v/>
      </c>
      <c r="U123" s="102">
        <f>IF($T123="","",IF(AND($S123&lt;&gt;"Closed",TODAY()&gt;$T123),"Overdue","Not overdue"))</f>
        <v/>
      </c>
      <c r="V123" s="102" t="n"/>
      <c r="W123" s="141" t="n"/>
      <c r="X123" s="102" t="n"/>
    </row>
    <row r="124">
      <c r="A124" s="102">
        <f>IF('Energy Data Input'!$A124="","","AL-"&amp;TEXT(ROW()-5,"0000"))</f>
        <v/>
      </c>
      <c r="B124" s="141">
        <f>IF('Energy Data Input'!$B124="","",'Energy Data Input'!$B124)</f>
        <v/>
      </c>
      <c r="C124" s="102">
        <f>IF('Energy Data Input'!$C124="","",'Energy Data Input'!$C124)</f>
        <v/>
      </c>
      <c r="D124" s="102">
        <f>IF('Energy Data Input'!$D124="","",'Energy Data Input'!$D124)</f>
        <v/>
      </c>
      <c r="E124" s="102">
        <f>IF('Energy Data Input'!$E124="","",'Energy Data Input'!$E124)</f>
        <v/>
      </c>
      <c r="F124" s="102">
        <f>IF('Energy Data Input'!$G124="","",'Energy Data Input'!$G124)</f>
        <v/>
      </c>
      <c r="G124" s="102">
        <f>IF('Energy Data Input'!$H124="","",'Energy Data Input'!$H124)</f>
        <v/>
      </c>
      <c r="H124" s="102">
        <f>IF('Energy Data Input'!$J124="","",'Energy Data Input'!$J124)</f>
        <v/>
      </c>
      <c r="I124" s="142">
        <f>IF('Energy Data Input'!$N124="","",'Energy Data Input'!$N124)</f>
        <v/>
      </c>
      <c r="J124" s="142">
        <f>IF($B124="","",IFERROR(AVERAGEIFS('Energy Data Input'!$N$6:$N$205,'Energy Data Input'!$B$6:$B$205,"&gt;="&amp;$B124-7,'Energy Data Input'!$B$6:$B$205,"&lt;"&amp;$B124,'Energy Data Input'!$H$6:$H$205,$G124,'Energy Data Input'!$J$6:$J$205,$H124),$I124))</f>
        <v/>
      </c>
      <c r="K124" s="143">
        <f>IFERROR(($I124-$J124)/$J124,"")</f>
        <v/>
      </c>
      <c r="L124" s="102">
        <f>IF('Energy Data Input'!$V124="","",'Energy Data Input'!$V124)</f>
        <v/>
      </c>
      <c r="M124" s="102">
        <f>IF($H124="","",IFERROR(VLOOKUP($H124,'Base Settings'!$A$13:$K$19,5,FALSE),0.2))</f>
        <v/>
      </c>
      <c r="N124" s="102">
        <f>IF($B124="","",IF('Energy Data Input'!$L124="","Missing reading",IF($I124=0,"Stalled reading / possibly offline",IF($K124&gt;=IFERROR(VLOOKUP($H124,'Base Settings'!$A$13:$K$19,6,FALSE),0.5),"Severe spike",IF($K124&gt;=$M124,"Usage spike",IF($K124&lt;=-IFERROR(VLOOKUP($H124,'Base Settings'!$A$13:$K$19,7,FALSE),0.3),"Usage drop",IF($L124&gt;IFERROR(VLOOKUP($H124,'Base Settings'!$A$13:$K$19,8,FALSE),999999),"Area intensity overrun","Normal")))))))</f>
        <v/>
      </c>
      <c r="O124" s="102">
        <f>IF($N124="","",IF($N124="Normal","Normal",IF(OR($N124="Severe spike",$K124&gt;=IFERROR(VLOOKUP($H124,'Base Settings'!$A$13:$K$19,6,FALSE),0.5)),"Severe",IF(OR($N124="Usage spike",$N124="Usage drop"),"High","Medium"))))</f>
        <v/>
      </c>
      <c r="P124" s="144">
        <f>IF(OR($N124="",$N124="Normal"),0,ABS($I124-$J124)*'Energy Data Input'!$O124)</f>
        <v/>
      </c>
      <c r="Q124" s="102">
        <f>IF($N124="Normal","",IF($N124="Stalled reading / possibly offline","核查表计通信/Electricity池/网关/阀门Status",IF(AND($H124="Water",$N124&lt;&gt;"Normal"),"检查管网、阀门、卫生间、冷却塔及夜间最小流量",IF(AND($H124="Electricity",$N124&lt;&gt;"Normal"),"检查空调、照明、生产设备、PeakOff-peak时段与待机功耗",IF(AND($H124="Gas",$N124&lt;&gt;"Normal"),"检查燃Gas阀门、锅炉/厨房设备与泄漏风险","核查设备工况、排班、产量与计量数据")))))</f>
        <v/>
      </c>
      <c r="R124" s="102">
        <f>IF($H124="","",IFERROR(VLOOKUP($H124,'Base Settings'!$A$13:$K$19,11,FALSE),"Energy management owner"))</f>
        <v/>
      </c>
      <c r="S124" s="102">
        <f>IF($N124="","",IF($N124="Normal","No action needed","Open"))</f>
        <v/>
      </c>
      <c r="T124" s="141">
        <f>IF(OR($B124="",$N124="Normal"),"",WORKDAY($B124,IF($O124="Severe",1,IF($O124="High",2,3))))</f>
        <v/>
      </c>
      <c r="U124" s="102">
        <f>IF($T124="","",IF(AND($S124&lt;&gt;"Closed",TODAY()&gt;$T124),"Overdue","Not overdue"))</f>
        <v/>
      </c>
      <c r="V124" s="102" t="n"/>
      <c r="W124" s="141" t="n"/>
      <c r="X124" s="102" t="n"/>
    </row>
    <row r="125">
      <c r="A125" s="102">
        <f>IF('Energy Data Input'!$A125="","","AL-"&amp;TEXT(ROW()-5,"0000"))</f>
        <v/>
      </c>
      <c r="B125" s="141">
        <f>IF('Energy Data Input'!$B125="","",'Energy Data Input'!$B125)</f>
        <v/>
      </c>
      <c r="C125" s="102">
        <f>IF('Energy Data Input'!$C125="","",'Energy Data Input'!$C125)</f>
        <v/>
      </c>
      <c r="D125" s="102">
        <f>IF('Energy Data Input'!$D125="","",'Energy Data Input'!$D125)</f>
        <v/>
      </c>
      <c r="E125" s="102">
        <f>IF('Energy Data Input'!$E125="","",'Energy Data Input'!$E125)</f>
        <v/>
      </c>
      <c r="F125" s="102">
        <f>IF('Energy Data Input'!$G125="","",'Energy Data Input'!$G125)</f>
        <v/>
      </c>
      <c r="G125" s="102">
        <f>IF('Energy Data Input'!$H125="","",'Energy Data Input'!$H125)</f>
        <v/>
      </c>
      <c r="H125" s="102">
        <f>IF('Energy Data Input'!$J125="","",'Energy Data Input'!$J125)</f>
        <v/>
      </c>
      <c r="I125" s="142">
        <f>IF('Energy Data Input'!$N125="","",'Energy Data Input'!$N125)</f>
        <v/>
      </c>
      <c r="J125" s="142">
        <f>IF($B125="","",IFERROR(AVERAGEIFS('Energy Data Input'!$N$6:$N$205,'Energy Data Input'!$B$6:$B$205,"&gt;="&amp;$B125-7,'Energy Data Input'!$B$6:$B$205,"&lt;"&amp;$B125,'Energy Data Input'!$H$6:$H$205,$G125,'Energy Data Input'!$J$6:$J$205,$H125),$I125))</f>
        <v/>
      </c>
      <c r="K125" s="143">
        <f>IFERROR(($I125-$J125)/$J125,"")</f>
        <v/>
      </c>
      <c r="L125" s="102">
        <f>IF('Energy Data Input'!$V125="","",'Energy Data Input'!$V125)</f>
        <v/>
      </c>
      <c r="M125" s="102">
        <f>IF($H125="","",IFERROR(VLOOKUP($H125,'Base Settings'!$A$13:$K$19,5,FALSE),0.2))</f>
        <v/>
      </c>
      <c r="N125" s="102">
        <f>IF($B125="","",IF('Energy Data Input'!$L125="","Missing reading",IF($I125=0,"Stalled reading / possibly offline",IF($K125&gt;=IFERROR(VLOOKUP($H125,'Base Settings'!$A$13:$K$19,6,FALSE),0.5),"Severe spike",IF($K125&gt;=$M125,"Usage spike",IF($K125&lt;=-IFERROR(VLOOKUP($H125,'Base Settings'!$A$13:$K$19,7,FALSE),0.3),"Usage drop",IF($L125&gt;IFERROR(VLOOKUP($H125,'Base Settings'!$A$13:$K$19,8,FALSE),999999),"Area intensity overrun","Normal")))))))</f>
        <v/>
      </c>
      <c r="O125" s="102">
        <f>IF($N125="","",IF($N125="Normal","Normal",IF(OR($N125="Severe spike",$K125&gt;=IFERROR(VLOOKUP($H125,'Base Settings'!$A$13:$K$19,6,FALSE),0.5)),"Severe",IF(OR($N125="Usage spike",$N125="Usage drop"),"High","Medium"))))</f>
        <v/>
      </c>
      <c r="P125" s="144">
        <f>IF(OR($N125="",$N125="Normal"),0,ABS($I125-$J125)*'Energy Data Input'!$O125)</f>
        <v/>
      </c>
      <c r="Q125" s="102">
        <f>IF($N125="Normal","",IF($N125="Stalled reading / possibly offline","核查表计通信/Electricity池/网关/阀门Status",IF(AND($H125="Water",$N125&lt;&gt;"Normal"),"检查管网、阀门、卫生间、冷却塔及夜间最小流量",IF(AND($H125="Electricity",$N125&lt;&gt;"Normal"),"检查空调、照明、生产设备、PeakOff-peak时段与待机功耗",IF(AND($H125="Gas",$N125&lt;&gt;"Normal"),"检查燃Gas阀门、锅炉/厨房设备与泄漏风险","核查设备工况、排班、产量与计量数据")))))</f>
        <v/>
      </c>
      <c r="R125" s="102">
        <f>IF($H125="","",IFERROR(VLOOKUP($H125,'Base Settings'!$A$13:$K$19,11,FALSE),"Energy management owner"))</f>
        <v/>
      </c>
      <c r="S125" s="102">
        <f>IF($N125="","",IF($N125="Normal","No action needed","Open"))</f>
        <v/>
      </c>
      <c r="T125" s="141">
        <f>IF(OR($B125="",$N125="Normal"),"",WORKDAY($B125,IF($O125="Severe",1,IF($O125="High",2,3))))</f>
        <v/>
      </c>
      <c r="U125" s="102">
        <f>IF($T125="","",IF(AND($S125&lt;&gt;"Closed",TODAY()&gt;$T125),"Overdue","Not overdue"))</f>
        <v/>
      </c>
      <c r="V125" s="102" t="n"/>
      <c r="W125" s="141" t="n"/>
      <c r="X125" s="102" t="n"/>
    </row>
    <row r="126">
      <c r="A126" s="102">
        <f>IF('Energy Data Input'!$A126="","","AL-"&amp;TEXT(ROW()-5,"0000"))</f>
        <v/>
      </c>
      <c r="B126" s="141">
        <f>IF('Energy Data Input'!$B126="","",'Energy Data Input'!$B126)</f>
        <v/>
      </c>
      <c r="C126" s="102">
        <f>IF('Energy Data Input'!$C126="","",'Energy Data Input'!$C126)</f>
        <v/>
      </c>
      <c r="D126" s="102">
        <f>IF('Energy Data Input'!$D126="","",'Energy Data Input'!$D126)</f>
        <v/>
      </c>
      <c r="E126" s="102">
        <f>IF('Energy Data Input'!$E126="","",'Energy Data Input'!$E126)</f>
        <v/>
      </c>
      <c r="F126" s="102">
        <f>IF('Energy Data Input'!$G126="","",'Energy Data Input'!$G126)</f>
        <v/>
      </c>
      <c r="G126" s="102">
        <f>IF('Energy Data Input'!$H126="","",'Energy Data Input'!$H126)</f>
        <v/>
      </c>
      <c r="H126" s="102">
        <f>IF('Energy Data Input'!$J126="","",'Energy Data Input'!$J126)</f>
        <v/>
      </c>
      <c r="I126" s="142">
        <f>IF('Energy Data Input'!$N126="","",'Energy Data Input'!$N126)</f>
        <v/>
      </c>
      <c r="J126" s="142">
        <f>IF($B126="","",IFERROR(AVERAGEIFS('Energy Data Input'!$N$6:$N$205,'Energy Data Input'!$B$6:$B$205,"&gt;="&amp;$B126-7,'Energy Data Input'!$B$6:$B$205,"&lt;"&amp;$B126,'Energy Data Input'!$H$6:$H$205,$G126,'Energy Data Input'!$J$6:$J$205,$H126),$I126))</f>
        <v/>
      </c>
      <c r="K126" s="143">
        <f>IFERROR(($I126-$J126)/$J126,"")</f>
        <v/>
      </c>
      <c r="L126" s="102">
        <f>IF('Energy Data Input'!$V126="","",'Energy Data Input'!$V126)</f>
        <v/>
      </c>
      <c r="M126" s="102">
        <f>IF($H126="","",IFERROR(VLOOKUP($H126,'Base Settings'!$A$13:$K$19,5,FALSE),0.2))</f>
        <v/>
      </c>
      <c r="N126" s="102">
        <f>IF($B126="","",IF('Energy Data Input'!$L126="","Missing reading",IF($I126=0,"Stalled reading / possibly offline",IF($K126&gt;=IFERROR(VLOOKUP($H126,'Base Settings'!$A$13:$K$19,6,FALSE),0.5),"Severe spike",IF($K126&gt;=$M126,"Usage spike",IF($K126&lt;=-IFERROR(VLOOKUP($H126,'Base Settings'!$A$13:$K$19,7,FALSE),0.3),"Usage drop",IF($L126&gt;IFERROR(VLOOKUP($H126,'Base Settings'!$A$13:$K$19,8,FALSE),999999),"Area intensity overrun","Normal")))))))</f>
        <v/>
      </c>
      <c r="O126" s="102">
        <f>IF($N126="","",IF($N126="Normal","Normal",IF(OR($N126="Severe spike",$K126&gt;=IFERROR(VLOOKUP($H126,'Base Settings'!$A$13:$K$19,6,FALSE),0.5)),"Severe",IF(OR($N126="Usage spike",$N126="Usage drop"),"High","Medium"))))</f>
        <v/>
      </c>
      <c r="P126" s="144">
        <f>IF(OR($N126="",$N126="Normal"),0,ABS($I126-$J126)*'Energy Data Input'!$O126)</f>
        <v/>
      </c>
      <c r="Q126" s="102">
        <f>IF($N126="Normal","",IF($N126="Stalled reading / possibly offline","核查表计通信/Electricity池/网关/阀门Status",IF(AND($H126="Water",$N126&lt;&gt;"Normal"),"检查管网、阀门、卫生间、冷却塔及夜间最小流量",IF(AND($H126="Electricity",$N126&lt;&gt;"Normal"),"检查空调、照明、生产设备、PeakOff-peak时段与待机功耗",IF(AND($H126="Gas",$N126&lt;&gt;"Normal"),"检查燃Gas阀门、锅炉/厨房设备与泄漏风险","核查设备工况、排班、产量与计量数据")))))</f>
        <v/>
      </c>
      <c r="R126" s="102">
        <f>IF($H126="","",IFERROR(VLOOKUP($H126,'Base Settings'!$A$13:$K$19,11,FALSE),"Energy management owner"))</f>
        <v/>
      </c>
      <c r="S126" s="102">
        <f>IF($N126="","",IF($N126="Normal","No action needed","Open"))</f>
        <v/>
      </c>
      <c r="T126" s="141">
        <f>IF(OR($B126="",$N126="Normal"),"",WORKDAY($B126,IF($O126="Severe",1,IF($O126="High",2,3))))</f>
        <v/>
      </c>
      <c r="U126" s="102">
        <f>IF($T126="","",IF(AND($S126&lt;&gt;"Closed",TODAY()&gt;$T126),"Overdue","Not overdue"))</f>
        <v/>
      </c>
      <c r="V126" s="102" t="n"/>
      <c r="W126" s="141" t="n"/>
      <c r="X126" s="102" t="n"/>
    </row>
    <row r="127">
      <c r="A127" s="102">
        <f>IF('Energy Data Input'!$A127="","","AL-"&amp;TEXT(ROW()-5,"0000"))</f>
        <v/>
      </c>
      <c r="B127" s="141">
        <f>IF('Energy Data Input'!$B127="","",'Energy Data Input'!$B127)</f>
        <v/>
      </c>
      <c r="C127" s="102">
        <f>IF('Energy Data Input'!$C127="","",'Energy Data Input'!$C127)</f>
        <v/>
      </c>
      <c r="D127" s="102">
        <f>IF('Energy Data Input'!$D127="","",'Energy Data Input'!$D127)</f>
        <v/>
      </c>
      <c r="E127" s="102">
        <f>IF('Energy Data Input'!$E127="","",'Energy Data Input'!$E127)</f>
        <v/>
      </c>
      <c r="F127" s="102">
        <f>IF('Energy Data Input'!$G127="","",'Energy Data Input'!$G127)</f>
        <v/>
      </c>
      <c r="G127" s="102">
        <f>IF('Energy Data Input'!$H127="","",'Energy Data Input'!$H127)</f>
        <v/>
      </c>
      <c r="H127" s="102">
        <f>IF('Energy Data Input'!$J127="","",'Energy Data Input'!$J127)</f>
        <v/>
      </c>
      <c r="I127" s="142">
        <f>IF('Energy Data Input'!$N127="","",'Energy Data Input'!$N127)</f>
        <v/>
      </c>
      <c r="J127" s="142">
        <f>IF($B127="","",IFERROR(AVERAGEIFS('Energy Data Input'!$N$6:$N$205,'Energy Data Input'!$B$6:$B$205,"&gt;="&amp;$B127-7,'Energy Data Input'!$B$6:$B$205,"&lt;"&amp;$B127,'Energy Data Input'!$H$6:$H$205,$G127,'Energy Data Input'!$J$6:$J$205,$H127),$I127))</f>
        <v/>
      </c>
      <c r="K127" s="143">
        <f>IFERROR(($I127-$J127)/$J127,"")</f>
        <v/>
      </c>
      <c r="L127" s="102">
        <f>IF('Energy Data Input'!$V127="","",'Energy Data Input'!$V127)</f>
        <v/>
      </c>
      <c r="M127" s="102">
        <f>IF($H127="","",IFERROR(VLOOKUP($H127,'Base Settings'!$A$13:$K$19,5,FALSE),0.2))</f>
        <v/>
      </c>
      <c r="N127" s="102">
        <f>IF($B127="","",IF('Energy Data Input'!$L127="","Missing reading",IF($I127=0,"Stalled reading / possibly offline",IF($K127&gt;=IFERROR(VLOOKUP($H127,'Base Settings'!$A$13:$K$19,6,FALSE),0.5),"Severe spike",IF($K127&gt;=$M127,"Usage spike",IF($K127&lt;=-IFERROR(VLOOKUP($H127,'Base Settings'!$A$13:$K$19,7,FALSE),0.3),"Usage drop",IF($L127&gt;IFERROR(VLOOKUP($H127,'Base Settings'!$A$13:$K$19,8,FALSE),999999),"Area intensity overrun","Normal")))))))</f>
        <v/>
      </c>
      <c r="O127" s="102">
        <f>IF($N127="","",IF($N127="Normal","Normal",IF(OR($N127="Severe spike",$K127&gt;=IFERROR(VLOOKUP($H127,'Base Settings'!$A$13:$K$19,6,FALSE),0.5)),"Severe",IF(OR($N127="Usage spike",$N127="Usage drop"),"High","Medium"))))</f>
        <v/>
      </c>
      <c r="P127" s="144">
        <f>IF(OR($N127="",$N127="Normal"),0,ABS($I127-$J127)*'Energy Data Input'!$O127)</f>
        <v/>
      </c>
      <c r="Q127" s="102">
        <f>IF($N127="Normal","",IF($N127="Stalled reading / possibly offline","核查表计通信/Electricity池/网关/阀门Status",IF(AND($H127="Water",$N127&lt;&gt;"Normal"),"检查管网、阀门、卫生间、冷却塔及夜间最小流量",IF(AND($H127="Electricity",$N127&lt;&gt;"Normal"),"检查空调、照明、生产设备、PeakOff-peak时段与待机功耗",IF(AND($H127="Gas",$N127&lt;&gt;"Normal"),"检查燃Gas阀门、锅炉/厨房设备与泄漏风险","核查设备工况、排班、产量与计量数据")))))</f>
        <v/>
      </c>
      <c r="R127" s="102">
        <f>IF($H127="","",IFERROR(VLOOKUP($H127,'Base Settings'!$A$13:$K$19,11,FALSE),"Energy management owner"))</f>
        <v/>
      </c>
      <c r="S127" s="102">
        <f>IF($N127="","",IF($N127="Normal","No action needed","Open"))</f>
        <v/>
      </c>
      <c r="T127" s="141">
        <f>IF(OR($B127="",$N127="Normal"),"",WORKDAY($B127,IF($O127="Severe",1,IF($O127="High",2,3))))</f>
        <v/>
      </c>
      <c r="U127" s="102">
        <f>IF($T127="","",IF(AND($S127&lt;&gt;"Closed",TODAY()&gt;$T127),"Overdue","Not overdue"))</f>
        <v/>
      </c>
      <c r="V127" s="102" t="n"/>
      <c r="W127" s="141" t="n"/>
      <c r="X127" s="102" t="n"/>
    </row>
    <row r="128">
      <c r="A128" s="102">
        <f>IF('Energy Data Input'!$A128="","","AL-"&amp;TEXT(ROW()-5,"0000"))</f>
        <v/>
      </c>
      <c r="B128" s="141">
        <f>IF('Energy Data Input'!$B128="","",'Energy Data Input'!$B128)</f>
        <v/>
      </c>
      <c r="C128" s="102">
        <f>IF('Energy Data Input'!$C128="","",'Energy Data Input'!$C128)</f>
        <v/>
      </c>
      <c r="D128" s="102">
        <f>IF('Energy Data Input'!$D128="","",'Energy Data Input'!$D128)</f>
        <v/>
      </c>
      <c r="E128" s="102">
        <f>IF('Energy Data Input'!$E128="","",'Energy Data Input'!$E128)</f>
        <v/>
      </c>
      <c r="F128" s="102">
        <f>IF('Energy Data Input'!$G128="","",'Energy Data Input'!$G128)</f>
        <v/>
      </c>
      <c r="G128" s="102">
        <f>IF('Energy Data Input'!$H128="","",'Energy Data Input'!$H128)</f>
        <v/>
      </c>
      <c r="H128" s="102">
        <f>IF('Energy Data Input'!$J128="","",'Energy Data Input'!$J128)</f>
        <v/>
      </c>
      <c r="I128" s="142">
        <f>IF('Energy Data Input'!$N128="","",'Energy Data Input'!$N128)</f>
        <v/>
      </c>
      <c r="J128" s="142">
        <f>IF($B128="","",IFERROR(AVERAGEIFS('Energy Data Input'!$N$6:$N$205,'Energy Data Input'!$B$6:$B$205,"&gt;="&amp;$B128-7,'Energy Data Input'!$B$6:$B$205,"&lt;"&amp;$B128,'Energy Data Input'!$H$6:$H$205,$G128,'Energy Data Input'!$J$6:$J$205,$H128),$I128))</f>
        <v/>
      </c>
      <c r="K128" s="143">
        <f>IFERROR(($I128-$J128)/$J128,"")</f>
        <v/>
      </c>
      <c r="L128" s="102">
        <f>IF('Energy Data Input'!$V128="","",'Energy Data Input'!$V128)</f>
        <v/>
      </c>
      <c r="M128" s="102">
        <f>IF($H128="","",IFERROR(VLOOKUP($H128,'Base Settings'!$A$13:$K$19,5,FALSE),0.2))</f>
        <v/>
      </c>
      <c r="N128" s="102">
        <f>IF($B128="","",IF('Energy Data Input'!$L128="","Missing reading",IF($I128=0,"Stalled reading / possibly offline",IF($K128&gt;=IFERROR(VLOOKUP($H128,'Base Settings'!$A$13:$K$19,6,FALSE),0.5),"Severe spike",IF($K128&gt;=$M128,"Usage spike",IF($K128&lt;=-IFERROR(VLOOKUP($H128,'Base Settings'!$A$13:$K$19,7,FALSE),0.3),"Usage drop",IF($L128&gt;IFERROR(VLOOKUP($H128,'Base Settings'!$A$13:$K$19,8,FALSE),999999),"Area intensity overrun","Normal")))))))</f>
        <v/>
      </c>
      <c r="O128" s="102">
        <f>IF($N128="","",IF($N128="Normal","Normal",IF(OR($N128="Severe spike",$K128&gt;=IFERROR(VLOOKUP($H128,'Base Settings'!$A$13:$K$19,6,FALSE),0.5)),"Severe",IF(OR($N128="Usage spike",$N128="Usage drop"),"High","Medium"))))</f>
        <v/>
      </c>
      <c r="P128" s="144">
        <f>IF(OR($N128="",$N128="Normal"),0,ABS($I128-$J128)*'Energy Data Input'!$O128)</f>
        <v/>
      </c>
      <c r="Q128" s="102">
        <f>IF($N128="Normal","",IF($N128="Stalled reading / possibly offline","核查表计通信/Electricity池/网关/阀门Status",IF(AND($H128="Water",$N128&lt;&gt;"Normal"),"检查管网、阀门、卫生间、冷却塔及夜间最小流量",IF(AND($H128="Electricity",$N128&lt;&gt;"Normal"),"检查空调、照明、生产设备、PeakOff-peak时段与待机功耗",IF(AND($H128="Gas",$N128&lt;&gt;"Normal"),"检查燃Gas阀门、锅炉/厨房设备与泄漏风险","核查设备工况、排班、产量与计量数据")))))</f>
        <v/>
      </c>
      <c r="R128" s="102">
        <f>IF($H128="","",IFERROR(VLOOKUP($H128,'Base Settings'!$A$13:$K$19,11,FALSE),"Energy management owner"))</f>
        <v/>
      </c>
      <c r="S128" s="102">
        <f>IF($N128="","",IF($N128="Normal","No action needed","Open"))</f>
        <v/>
      </c>
      <c r="T128" s="141">
        <f>IF(OR($B128="",$N128="Normal"),"",WORKDAY($B128,IF($O128="Severe",1,IF($O128="High",2,3))))</f>
        <v/>
      </c>
      <c r="U128" s="102">
        <f>IF($T128="","",IF(AND($S128&lt;&gt;"Closed",TODAY()&gt;$T128),"Overdue","Not overdue"))</f>
        <v/>
      </c>
      <c r="V128" s="102" t="n"/>
      <c r="W128" s="141" t="n"/>
      <c r="X128" s="102" t="n"/>
    </row>
    <row r="129">
      <c r="A129" s="102">
        <f>IF('Energy Data Input'!$A129="","","AL-"&amp;TEXT(ROW()-5,"0000"))</f>
        <v/>
      </c>
      <c r="B129" s="141">
        <f>IF('Energy Data Input'!$B129="","",'Energy Data Input'!$B129)</f>
        <v/>
      </c>
      <c r="C129" s="102">
        <f>IF('Energy Data Input'!$C129="","",'Energy Data Input'!$C129)</f>
        <v/>
      </c>
      <c r="D129" s="102">
        <f>IF('Energy Data Input'!$D129="","",'Energy Data Input'!$D129)</f>
        <v/>
      </c>
      <c r="E129" s="102">
        <f>IF('Energy Data Input'!$E129="","",'Energy Data Input'!$E129)</f>
        <v/>
      </c>
      <c r="F129" s="102">
        <f>IF('Energy Data Input'!$G129="","",'Energy Data Input'!$G129)</f>
        <v/>
      </c>
      <c r="G129" s="102">
        <f>IF('Energy Data Input'!$H129="","",'Energy Data Input'!$H129)</f>
        <v/>
      </c>
      <c r="H129" s="102">
        <f>IF('Energy Data Input'!$J129="","",'Energy Data Input'!$J129)</f>
        <v/>
      </c>
      <c r="I129" s="142">
        <f>IF('Energy Data Input'!$N129="","",'Energy Data Input'!$N129)</f>
        <v/>
      </c>
      <c r="J129" s="142">
        <f>IF($B129="","",IFERROR(AVERAGEIFS('Energy Data Input'!$N$6:$N$205,'Energy Data Input'!$B$6:$B$205,"&gt;="&amp;$B129-7,'Energy Data Input'!$B$6:$B$205,"&lt;"&amp;$B129,'Energy Data Input'!$H$6:$H$205,$G129,'Energy Data Input'!$J$6:$J$205,$H129),$I129))</f>
        <v/>
      </c>
      <c r="K129" s="143">
        <f>IFERROR(($I129-$J129)/$J129,"")</f>
        <v/>
      </c>
      <c r="L129" s="102">
        <f>IF('Energy Data Input'!$V129="","",'Energy Data Input'!$V129)</f>
        <v/>
      </c>
      <c r="M129" s="102">
        <f>IF($H129="","",IFERROR(VLOOKUP($H129,'Base Settings'!$A$13:$K$19,5,FALSE),0.2))</f>
        <v/>
      </c>
      <c r="N129" s="102">
        <f>IF($B129="","",IF('Energy Data Input'!$L129="","Missing reading",IF($I129=0,"Stalled reading / possibly offline",IF($K129&gt;=IFERROR(VLOOKUP($H129,'Base Settings'!$A$13:$K$19,6,FALSE),0.5),"Severe spike",IF($K129&gt;=$M129,"Usage spike",IF($K129&lt;=-IFERROR(VLOOKUP($H129,'Base Settings'!$A$13:$K$19,7,FALSE),0.3),"Usage drop",IF($L129&gt;IFERROR(VLOOKUP($H129,'Base Settings'!$A$13:$K$19,8,FALSE),999999),"Area intensity overrun","Normal")))))))</f>
        <v/>
      </c>
      <c r="O129" s="102">
        <f>IF($N129="","",IF($N129="Normal","Normal",IF(OR($N129="Severe spike",$K129&gt;=IFERROR(VLOOKUP($H129,'Base Settings'!$A$13:$K$19,6,FALSE),0.5)),"Severe",IF(OR($N129="Usage spike",$N129="Usage drop"),"High","Medium"))))</f>
        <v/>
      </c>
      <c r="P129" s="144">
        <f>IF(OR($N129="",$N129="Normal"),0,ABS($I129-$J129)*'Energy Data Input'!$O129)</f>
        <v/>
      </c>
      <c r="Q129" s="102">
        <f>IF($N129="Normal","",IF($N129="Stalled reading / possibly offline","核查表计通信/Electricity池/网关/阀门Status",IF(AND($H129="Water",$N129&lt;&gt;"Normal"),"检查管网、阀门、卫生间、冷却塔及夜间最小流量",IF(AND($H129="Electricity",$N129&lt;&gt;"Normal"),"检查空调、照明、生产设备、PeakOff-peak时段与待机功耗",IF(AND($H129="Gas",$N129&lt;&gt;"Normal"),"检查燃Gas阀门、锅炉/厨房设备与泄漏风险","核查设备工况、排班、产量与计量数据")))))</f>
        <v/>
      </c>
      <c r="R129" s="102">
        <f>IF($H129="","",IFERROR(VLOOKUP($H129,'Base Settings'!$A$13:$K$19,11,FALSE),"Energy management owner"))</f>
        <v/>
      </c>
      <c r="S129" s="102">
        <f>IF($N129="","",IF($N129="Normal","No action needed","Open"))</f>
        <v/>
      </c>
      <c r="T129" s="141">
        <f>IF(OR($B129="",$N129="Normal"),"",WORKDAY($B129,IF($O129="Severe",1,IF($O129="High",2,3))))</f>
        <v/>
      </c>
      <c r="U129" s="102">
        <f>IF($T129="","",IF(AND($S129&lt;&gt;"Closed",TODAY()&gt;$T129),"Overdue","Not overdue"))</f>
        <v/>
      </c>
      <c r="V129" s="102" t="n"/>
      <c r="W129" s="141" t="n"/>
      <c r="X129" s="102" t="n"/>
    </row>
    <row r="130">
      <c r="A130" s="102">
        <f>IF('Energy Data Input'!$A130="","","AL-"&amp;TEXT(ROW()-5,"0000"))</f>
        <v/>
      </c>
      <c r="B130" s="141">
        <f>IF('Energy Data Input'!$B130="","",'Energy Data Input'!$B130)</f>
        <v/>
      </c>
      <c r="C130" s="102">
        <f>IF('Energy Data Input'!$C130="","",'Energy Data Input'!$C130)</f>
        <v/>
      </c>
      <c r="D130" s="102">
        <f>IF('Energy Data Input'!$D130="","",'Energy Data Input'!$D130)</f>
        <v/>
      </c>
      <c r="E130" s="102">
        <f>IF('Energy Data Input'!$E130="","",'Energy Data Input'!$E130)</f>
        <v/>
      </c>
      <c r="F130" s="102">
        <f>IF('Energy Data Input'!$G130="","",'Energy Data Input'!$G130)</f>
        <v/>
      </c>
      <c r="G130" s="102">
        <f>IF('Energy Data Input'!$H130="","",'Energy Data Input'!$H130)</f>
        <v/>
      </c>
      <c r="H130" s="102">
        <f>IF('Energy Data Input'!$J130="","",'Energy Data Input'!$J130)</f>
        <v/>
      </c>
      <c r="I130" s="142">
        <f>IF('Energy Data Input'!$N130="","",'Energy Data Input'!$N130)</f>
        <v/>
      </c>
      <c r="J130" s="142">
        <f>IF($B130="","",IFERROR(AVERAGEIFS('Energy Data Input'!$N$6:$N$205,'Energy Data Input'!$B$6:$B$205,"&gt;="&amp;$B130-7,'Energy Data Input'!$B$6:$B$205,"&lt;"&amp;$B130,'Energy Data Input'!$H$6:$H$205,$G130,'Energy Data Input'!$J$6:$J$205,$H130),$I130))</f>
        <v/>
      </c>
      <c r="K130" s="143">
        <f>IFERROR(($I130-$J130)/$J130,"")</f>
        <v/>
      </c>
      <c r="L130" s="102">
        <f>IF('Energy Data Input'!$V130="","",'Energy Data Input'!$V130)</f>
        <v/>
      </c>
      <c r="M130" s="102">
        <f>IF($H130="","",IFERROR(VLOOKUP($H130,'Base Settings'!$A$13:$K$19,5,FALSE),0.2))</f>
        <v/>
      </c>
      <c r="N130" s="102">
        <f>IF($B130="","",IF('Energy Data Input'!$L130="","Missing reading",IF($I130=0,"Stalled reading / possibly offline",IF($K130&gt;=IFERROR(VLOOKUP($H130,'Base Settings'!$A$13:$K$19,6,FALSE),0.5),"Severe spike",IF($K130&gt;=$M130,"Usage spike",IF($K130&lt;=-IFERROR(VLOOKUP($H130,'Base Settings'!$A$13:$K$19,7,FALSE),0.3),"Usage drop",IF($L130&gt;IFERROR(VLOOKUP($H130,'Base Settings'!$A$13:$K$19,8,FALSE),999999),"Area intensity overrun","Normal")))))))</f>
        <v/>
      </c>
      <c r="O130" s="102">
        <f>IF($N130="","",IF($N130="Normal","Normal",IF(OR($N130="Severe spike",$K130&gt;=IFERROR(VLOOKUP($H130,'Base Settings'!$A$13:$K$19,6,FALSE),0.5)),"Severe",IF(OR($N130="Usage spike",$N130="Usage drop"),"High","Medium"))))</f>
        <v/>
      </c>
      <c r="P130" s="144">
        <f>IF(OR($N130="",$N130="Normal"),0,ABS($I130-$J130)*'Energy Data Input'!$O130)</f>
        <v/>
      </c>
      <c r="Q130" s="102">
        <f>IF($N130="Normal","",IF($N130="Stalled reading / possibly offline","核查表计通信/Electricity池/网关/阀门Status",IF(AND($H130="Water",$N130&lt;&gt;"Normal"),"检查管网、阀门、卫生间、冷却塔及夜间最小流量",IF(AND($H130="Electricity",$N130&lt;&gt;"Normal"),"检查空调、照明、生产设备、PeakOff-peak时段与待机功耗",IF(AND($H130="Gas",$N130&lt;&gt;"Normal"),"检查燃Gas阀门、锅炉/厨房设备与泄漏风险","核查设备工况、排班、产量与计量数据")))))</f>
        <v/>
      </c>
      <c r="R130" s="102">
        <f>IF($H130="","",IFERROR(VLOOKUP($H130,'Base Settings'!$A$13:$K$19,11,FALSE),"Energy management owner"))</f>
        <v/>
      </c>
      <c r="S130" s="102">
        <f>IF($N130="","",IF($N130="Normal","No action needed","Open"))</f>
        <v/>
      </c>
      <c r="T130" s="141">
        <f>IF(OR($B130="",$N130="Normal"),"",WORKDAY($B130,IF($O130="Severe",1,IF($O130="High",2,3))))</f>
        <v/>
      </c>
      <c r="U130" s="102">
        <f>IF($T130="","",IF(AND($S130&lt;&gt;"Closed",TODAY()&gt;$T130),"Overdue","Not overdue"))</f>
        <v/>
      </c>
      <c r="V130" s="102" t="n"/>
      <c r="W130" s="141" t="n"/>
      <c r="X130" s="102" t="n"/>
    </row>
    <row r="131">
      <c r="A131" s="102">
        <f>IF('Energy Data Input'!$A131="","","AL-"&amp;TEXT(ROW()-5,"0000"))</f>
        <v/>
      </c>
      <c r="B131" s="141">
        <f>IF('Energy Data Input'!$B131="","",'Energy Data Input'!$B131)</f>
        <v/>
      </c>
      <c r="C131" s="102">
        <f>IF('Energy Data Input'!$C131="","",'Energy Data Input'!$C131)</f>
        <v/>
      </c>
      <c r="D131" s="102">
        <f>IF('Energy Data Input'!$D131="","",'Energy Data Input'!$D131)</f>
        <v/>
      </c>
      <c r="E131" s="102">
        <f>IF('Energy Data Input'!$E131="","",'Energy Data Input'!$E131)</f>
        <v/>
      </c>
      <c r="F131" s="102">
        <f>IF('Energy Data Input'!$G131="","",'Energy Data Input'!$G131)</f>
        <v/>
      </c>
      <c r="G131" s="102">
        <f>IF('Energy Data Input'!$H131="","",'Energy Data Input'!$H131)</f>
        <v/>
      </c>
      <c r="H131" s="102">
        <f>IF('Energy Data Input'!$J131="","",'Energy Data Input'!$J131)</f>
        <v/>
      </c>
      <c r="I131" s="142">
        <f>IF('Energy Data Input'!$N131="","",'Energy Data Input'!$N131)</f>
        <v/>
      </c>
      <c r="J131" s="142">
        <f>IF($B131="","",IFERROR(AVERAGEIFS('Energy Data Input'!$N$6:$N$205,'Energy Data Input'!$B$6:$B$205,"&gt;="&amp;$B131-7,'Energy Data Input'!$B$6:$B$205,"&lt;"&amp;$B131,'Energy Data Input'!$H$6:$H$205,$G131,'Energy Data Input'!$J$6:$J$205,$H131),$I131))</f>
        <v/>
      </c>
      <c r="K131" s="143">
        <f>IFERROR(($I131-$J131)/$J131,"")</f>
        <v/>
      </c>
      <c r="L131" s="102">
        <f>IF('Energy Data Input'!$V131="","",'Energy Data Input'!$V131)</f>
        <v/>
      </c>
      <c r="M131" s="102">
        <f>IF($H131="","",IFERROR(VLOOKUP($H131,'Base Settings'!$A$13:$K$19,5,FALSE),0.2))</f>
        <v/>
      </c>
      <c r="N131" s="102">
        <f>IF($B131="","",IF('Energy Data Input'!$L131="","Missing reading",IF($I131=0,"Stalled reading / possibly offline",IF($K131&gt;=IFERROR(VLOOKUP($H131,'Base Settings'!$A$13:$K$19,6,FALSE),0.5),"Severe spike",IF($K131&gt;=$M131,"Usage spike",IF($K131&lt;=-IFERROR(VLOOKUP($H131,'Base Settings'!$A$13:$K$19,7,FALSE),0.3),"Usage drop",IF($L131&gt;IFERROR(VLOOKUP($H131,'Base Settings'!$A$13:$K$19,8,FALSE),999999),"Area intensity overrun","Normal")))))))</f>
        <v/>
      </c>
      <c r="O131" s="102">
        <f>IF($N131="","",IF($N131="Normal","Normal",IF(OR($N131="Severe spike",$K131&gt;=IFERROR(VLOOKUP($H131,'Base Settings'!$A$13:$K$19,6,FALSE),0.5)),"Severe",IF(OR($N131="Usage spike",$N131="Usage drop"),"High","Medium"))))</f>
        <v/>
      </c>
      <c r="P131" s="144">
        <f>IF(OR($N131="",$N131="Normal"),0,ABS($I131-$J131)*'Energy Data Input'!$O131)</f>
        <v/>
      </c>
      <c r="Q131" s="102">
        <f>IF($N131="Normal","",IF($N131="Stalled reading / possibly offline","核查表计通信/Electricity池/网关/阀门Status",IF(AND($H131="Water",$N131&lt;&gt;"Normal"),"检查管网、阀门、卫生间、冷却塔及夜间最小流量",IF(AND($H131="Electricity",$N131&lt;&gt;"Normal"),"检查空调、照明、生产设备、PeakOff-peak时段与待机功耗",IF(AND($H131="Gas",$N131&lt;&gt;"Normal"),"检查燃Gas阀门、锅炉/厨房设备与泄漏风险","核查设备工况、排班、产量与计量数据")))))</f>
        <v/>
      </c>
      <c r="R131" s="102">
        <f>IF($H131="","",IFERROR(VLOOKUP($H131,'Base Settings'!$A$13:$K$19,11,FALSE),"Energy management owner"))</f>
        <v/>
      </c>
      <c r="S131" s="102">
        <f>IF($N131="","",IF($N131="Normal","No action needed","Open"))</f>
        <v/>
      </c>
      <c r="T131" s="141">
        <f>IF(OR($B131="",$N131="Normal"),"",WORKDAY($B131,IF($O131="Severe",1,IF($O131="High",2,3))))</f>
        <v/>
      </c>
      <c r="U131" s="102">
        <f>IF($T131="","",IF(AND($S131&lt;&gt;"Closed",TODAY()&gt;$T131),"Overdue","Not overdue"))</f>
        <v/>
      </c>
      <c r="V131" s="102" t="n"/>
      <c r="W131" s="141" t="n"/>
      <c r="X131" s="102" t="n"/>
    </row>
    <row r="132">
      <c r="A132" s="102">
        <f>IF('Energy Data Input'!$A132="","","AL-"&amp;TEXT(ROW()-5,"0000"))</f>
        <v/>
      </c>
      <c r="B132" s="141">
        <f>IF('Energy Data Input'!$B132="","",'Energy Data Input'!$B132)</f>
        <v/>
      </c>
      <c r="C132" s="102">
        <f>IF('Energy Data Input'!$C132="","",'Energy Data Input'!$C132)</f>
        <v/>
      </c>
      <c r="D132" s="102">
        <f>IF('Energy Data Input'!$D132="","",'Energy Data Input'!$D132)</f>
        <v/>
      </c>
      <c r="E132" s="102">
        <f>IF('Energy Data Input'!$E132="","",'Energy Data Input'!$E132)</f>
        <v/>
      </c>
      <c r="F132" s="102">
        <f>IF('Energy Data Input'!$G132="","",'Energy Data Input'!$G132)</f>
        <v/>
      </c>
      <c r="G132" s="102">
        <f>IF('Energy Data Input'!$H132="","",'Energy Data Input'!$H132)</f>
        <v/>
      </c>
      <c r="H132" s="102">
        <f>IF('Energy Data Input'!$J132="","",'Energy Data Input'!$J132)</f>
        <v/>
      </c>
      <c r="I132" s="142">
        <f>IF('Energy Data Input'!$N132="","",'Energy Data Input'!$N132)</f>
        <v/>
      </c>
      <c r="J132" s="142">
        <f>IF($B132="","",IFERROR(AVERAGEIFS('Energy Data Input'!$N$6:$N$205,'Energy Data Input'!$B$6:$B$205,"&gt;="&amp;$B132-7,'Energy Data Input'!$B$6:$B$205,"&lt;"&amp;$B132,'Energy Data Input'!$H$6:$H$205,$G132,'Energy Data Input'!$J$6:$J$205,$H132),$I132))</f>
        <v/>
      </c>
      <c r="K132" s="143">
        <f>IFERROR(($I132-$J132)/$J132,"")</f>
        <v/>
      </c>
      <c r="L132" s="102">
        <f>IF('Energy Data Input'!$V132="","",'Energy Data Input'!$V132)</f>
        <v/>
      </c>
      <c r="M132" s="102">
        <f>IF($H132="","",IFERROR(VLOOKUP($H132,'Base Settings'!$A$13:$K$19,5,FALSE),0.2))</f>
        <v/>
      </c>
      <c r="N132" s="102">
        <f>IF($B132="","",IF('Energy Data Input'!$L132="","Missing reading",IF($I132=0,"Stalled reading / possibly offline",IF($K132&gt;=IFERROR(VLOOKUP($H132,'Base Settings'!$A$13:$K$19,6,FALSE),0.5),"Severe spike",IF($K132&gt;=$M132,"Usage spike",IF($K132&lt;=-IFERROR(VLOOKUP($H132,'Base Settings'!$A$13:$K$19,7,FALSE),0.3),"Usage drop",IF($L132&gt;IFERROR(VLOOKUP($H132,'Base Settings'!$A$13:$K$19,8,FALSE),999999),"Area intensity overrun","Normal")))))))</f>
        <v/>
      </c>
      <c r="O132" s="102">
        <f>IF($N132="","",IF($N132="Normal","Normal",IF(OR($N132="Severe spike",$K132&gt;=IFERROR(VLOOKUP($H132,'Base Settings'!$A$13:$K$19,6,FALSE),0.5)),"Severe",IF(OR($N132="Usage spike",$N132="Usage drop"),"High","Medium"))))</f>
        <v/>
      </c>
      <c r="P132" s="144">
        <f>IF(OR($N132="",$N132="Normal"),0,ABS($I132-$J132)*'Energy Data Input'!$O132)</f>
        <v/>
      </c>
      <c r="Q132" s="102">
        <f>IF($N132="Normal","",IF($N132="Stalled reading / possibly offline","核查表计通信/Electricity池/网关/阀门Status",IF(AND($H132="Water",$N132&lt;&gt;"Normal"),"检查管网、阀门、卫生间、冷却塔及夜间最小流量",IF(AND($H132="Electricity",$N132&lt;&gt;"Normal"),"检查空调、照明、生产设备、PeakOff-peak时段与待机功耗",IF(AND($H132="Gas",$N132&lt;&gt;"Normal"),"检查燃Gas阀门、锅炉/厨房设备与泄漏风险","核查设备工况、排班、产量与计量数据")))))</f>
        <v/>
      </c>
      <c r="R132" s="102">
        <f>IF($H132="","",IFERROR(VLOOKUP($H132,'Base Settings'!$A$13:$K$19,11,FALSE),"Energy management owner"))</f>
        <v/>
      </c>
      <c r="S132" s="102">
        <f>IF($N132="","",IF($N132="Normal","No action needed","Open"))</f>
        <v/>
      </c>
      <c r="T132" s="141">
        <f>IF(OR($B132="",$N132="Normal"),"",WORKDAY($B132,IF($O132="Severe",1,IF($O132="High",2,3))))</f>
        <v/>
      </c>
      <c r="U132" s="102">
        <f>IF($T132="","",IF(AND($S132&lt;&gt;"Closed",TODAY()&gt;$T132),"Overdue","Not overdue"))</f>
        <v/>
      </c>
      <c r="V132" s="102" t="n"/>
      <c r="W132" s="141" t="n"/>
      <c r="X132" s="102" t="n"/>
    </row>
    <row r="133">
      <c r="A133" s="102">
        <f>IF('Energy Data Input'!$A133="","","AL-"&amp;TEXT(ROW()-5,"0000"))</f>
        <v/>
      </c>
      <c r="B133" s="141">
        <f>IF('Energy Data Input'!$B133="","",'Energy Data Input'!$B133)</f>
        <v/>
      </c>
      <c r="C133" s="102">
        <f>IF('Energy Data Input'!$C133="","",'Energy Data Input'!$C133)</f>
        <v/>
      </c>
      <c r="D133" s="102">
        <f>IF('Energy Data Input'!$D133="","",'Energy Data Input'!$D133)</f>
        <v/>
      </c>
      <c r="E133" s="102">
        <f>IF('Energy Data Input'!$E133="","",'Energy Data Input'!$E133)</f>
        <v/>
      </c>
      <c r="F133" s="102">
        <f>IF('Energy Data Input'!$G133="","",'Energy Data Input'!$G133)</f>
        <v/>
      </c>
      <c r="G133" s="102">
        <f>IF('Energy Data Input'!$H133="","",'Energy Data Input'!$H133)</f>
        <v/>
      </c>
      <c r="H133" s="102">
        <f>IF('Energy Data Input'!$J133="","",'Energy Data Input'!$J133)</f>
        <v/>
      </c>
      <c r="I133" s="142">
        <f>IF('Energy Data Input'!$N133="","",'Energy Data Input'!$N133)</f>
        <v/>
      </c>
      <c r="J133" s="142">
        <f>IF($B133="","",IFERROR(AVERAGEIFS('Energy Data Input'!$N$6:$N$205,'Energy Data Input'!$B$6:$B$205,"&gt;="&amp;$B133-7,'Energy Data Input'!$B$6:$B$205,"&lt;"&amp;$B133,'Energy Data Input'!$H$6:$H$205,$G133,'Energy Data Input'!$J$6:$J$205,$H133),$I133))</f>
        <v/>
      </c>
      <c r="K133" s="143">
        <f>IFERROR(($I133-$J133)/$J133,"")</f>
        <v/>
      </c>
      <c r="L133" s="102">
        <f>IF('Energy Data Input'!$V133="","",'Energy Data Input'!$V133)</f>
        <v/>
      </c>
      <c r="M133" s="102">
        <f>IF($H133="","",IFERROR(VLOOKUP($H133,'Base Settings'!$A$13:$K$19,5,FALSE),0.2))</f>
        <v/>
      </c>
      <c r="N133" s="102">
        <f>IF($B133="","",IF('Energy Data Input'!$L133="","Missing reading",IF($I133=0,"Stalled reading / possibly offline",IF($K133&gt;=IFERROR(VLOOKUP($H133,'Base Settings'!$A$13:$K$19,6,FALSE),0.5),"Severe spike",IF($K133&gt;=$M133,"Usage spike",IF($K133&lt;=-IFERROR(VLOOKUP($H133,'Base Settings'!$A$13:$K$19,7,FALSE),0.3),"Usage drop",IF($L133&gt;IFERROR(VLOOKUP($H133,'Base Settings'!$A$13:$K$19,8,FALSE),999999),"Area intensity overrun","Normal")))))))</f>
        <v/>
      </c>
      <c r="O133" s="102">
        <f>IF($N133="","",IF($N133="Normal","Normal",IF(OR($N133="Severe spike",$K133&gt;=IFERROR(VLOOKUP($H133,'Base Settings'!$A$13:$K$19,6,FALSE),0.5)),"Severe",IF(OR($N133="Usage spike",$N133="Usage drop"),"High","Medium"))))</f>
        <v/>
      </c>
      <c r="P133" s="144">
        <f>IF(OR($N133="",$N133="Normal"),0,ABS($I133-$J133)*'Energy Data Input'!$O133)</f>
        <v/>
      </c>
      <c r="Q133" s="102">
        <f>IF($N133="Normal","",IF($N133="Stalled reading / possibly offline","核查表计通信/Electricity池/网关/阀门Status",IF(AND($H133="Water",$N133&lt;&gt;"Normal"),"检查管网、阀门、卫生间、冷却塔及夜间最小流量",IF(AND($H133="Electricity",$N133&lt;&gt;"Normal"),"检查空调、照明、生产设备、PeakOff-peak时段与待机功耗",IF(AND($H133="Gas",$N133&lt;&gt;"Normal"),"检查燃Gas阀门、锅炉/厨房设备与泄漏风险","核查设备工况、排班、产量与计量数据")))))</f>
        <v/>
      </c>
      <c r="R133" s="102">
        <f>IF($H133="","",IFERROR(VLOOKUP($H133,'Base Settings'!$A$13:$K$19,11,FALSE),"Energy management owner"))</f>
        <v/>
      </c>
      <c r="S133" s="102">
        <f>IF($N133="","",IF($N133="Normal","No action needed","Open"))</f>
        <v/>
      </c>
      <c r="T133" s="141">
        <f>IF(OR($B133="",$N133="Normal"),"",WORKDAY($B133,IF($O133="Severe",1,IF($O133="High",2,3))))</f>
        <v/>
      </c>
      <c r="U133" s="102">
        <f>IF($T133="","",IF(AND($S133&lt;&gt;"Closed",TODAY()&gt;$T133),"Overdue","Not overdue"))</f>
        <v/>
      </c>
      <c r="V133" s="102" t="n"/>
      <c r="W133" s="141" t="n"/>
      <c r="X133" s="102" t="n"/>
    </row>
    <row r="134">
      <c r="A134" s="102">
        <f>IF('Energy Data Input'!$A134="","","AL-"&amp;TEXT(ROW()-5,"0000"))</f>
        <v/>
      </c>
      <c r="B134" s="141">
        <f>IF('Energy Data Input'!$B134="","",'Energy Data Input'!$B134)</f>
        <v/>
      </c>
      <c r="C134" s="102">
        <f>IF('Energy Data Input'!$C134="","",'Energy Data Input'!$C134)</f>
        <v/>
      </c>
      <c r="D134" s="102">
        <f>IF('Energy Data Input'!$D134="","",'Energy Data Input'!$D134)</f>
        <v/>
      </c>
      <c r="E134" s="102">
        <f>IF('Energy Data Input'!$E134="","",'Energy Data Input'!$E134)</f>
        <v/>
      </c>
      <c r="F134" s="102">
        <f>IF('Energy Data Input'!$G134="","",'Energy Data Input'!$G134)</f>
        <v/>
      </c>
      <c r="G134" s="102">
        <f>IF('Energy Data Input'!$H134="","",'Energy Data Input'!$H134)</f>
        <v/>
      </c>
      <c r="H134" s="102">
        <f>IF('Energy Data Input'!$J134="","",'Energy Data Input'!$J134)</f>
        <v/>
      </c>
      <c r="I134" s="142">
        <f>IF('Energy Data Input'!$N134="","",'Energy Data Input'!$N134)</f>
        <v/>
      </c>
      <c r="J134" s="142">
        <f>IF($B134="","",IFERROR(AVERAGEIFS('Energy Data Input'!$N$6:$N$205,'Energy Data Input'!$B$6:$B$205,"&gt;="&amp;$B134-7,'Energy Data Input'!$B$6:$B$205,"&lt;"&amp;$B134,'Energy Data Input'!$H$6:$H$205,$G134,'Energy Data Input'!$J$6:$J$205,$H134),$I134))</f>
        <v/>
      </c>
      <c r="K134" s="143">
        <f>IFERROR(($I134-$J134)/$J134,"")</f>
        <v/>
      </c>
      <c r="L134" s="102">
        <f>IF('Energy Data Input'!$V134="","",'Energy Data Input'!$V134)</f>
        <v/>
      </c>
      <c r="M134" s="102">
        <f>IF($H134="","",IFERROR(VLOOKUP($H134,'Base Settings'!$A$13:$K$19,5,FALSE),0.2))</f>
        <v/>
      </c>
      <c r="N134" s="102">
        <f>IF($B134="","",IF('Energy Data Input'!$L134="","Missing reading",IF($I134=0,"Stalled reading / possibly offline",IF($K134&gt;=IFERROR(VLOOKUP($H134,'Base Settings'!$A$13:$K$19,6,FALSE),0.5),"Severe spike",IF($K134&gt;=$M134,"Usage spike",IF($K134&lt;=-IFERROR(VLOOKUP($H134,'Base Settings'!$A$13:$K$19,7,FALSE),0.3),"Usage drop",IF($L134&gt;IFERROR(VLOOKUP($H134,'Base Settings'!$A$13:$K$19,8,FALSE),999999),"Area intensity overrun","Normal")))))))</f>
        <v/>
      </c>
      <c r="O134" s="102">
        <f>IF($N134="","",IF($N134="Normal","Normal",IF(OR($N134="Severe spike",$K134&gt;=IFERROR(VLOOKUP($H134,'Base Settings'!$A$13:$K$19,6,FALSE),0.5)),"Severe",IF(OR($N134="Usage spike",$N134="Usage drop"),"High","Medium"))))</f>
        <v/>
      </c>
      <c r="P134" s="144">
        <f>IF(OR($N134="",$N134="Normal"),0,ABS($I134-$J134)*'Energy Data Input'!$O134)</f>
        <v/>
      </c>
      <c r="Q134" s="102">
        <f>IF($N134="Normal","",IF($N134="Stalled reading / possibly offline","核查表计通信/Electricity池/网关/阀门Status",IF(AND($H134="Water",$N134&lt;&gt;"Normal"),"检查管网、阀门、卫生间、冷却塔及夜间最小流量",IF(AND($H134="Electricity",$N134&lt;&gt;"Normal"),"检查空调、照明、生产设备、PeakOff-peak时段与待机功耗",IF(AND($H134="Gas",$N134&lt;&gt;"Normal"),"检查燃Gas阀门、锅炉/厨房设备与泄漏风险","核查设备工况、排班、产量与计量数据")))))</f>
        <v/>
      </c>
      <c r="R134" s="102">
        <f>IF($H134="","",IFERROR(VLOOKUP($H134,'Base Settings'!$A$13:$K$19,11,FALSE),"Energy management owner"))</f>
        <v/>
      </c>
      <c r="S134" s="102">
        <f>IF($N134="","",IF($N134="Normal","No action needed","Open"))</f>
        <v/>
      </c>
      <c r="T134" s="141">
        <f>IF(OR($B134="",$N134="Normal"),"",WORKDAY($B134,IF($O134="Severe",1,IF($O134="High",2,3))))</f>
        <v/>
      </c>
      <c r="U134" s="102">
        <f>IF($T134="","",IF(AND($S134&lt;&gt;"Closed",TODAY()&gt;$T134),"Overdue","Not overdue"))</f>
        <v/>
      </c>
      <c r="V134" s="102" t="n"/>
      <c r="W134" s="141" t="n"/>
      <c r="X134" s="102" t="n"/>
    </row>
    <row r="135">
      <c r="A135" s="102">
        <f>IF('Energy Data Input'!$A135="","","AL-"&amp;TEXT(ROW()-5,"0000"))</f>
        <v/>
      </c>
      <c r="B135" s="141">
        <f>IF('Energy Data Input'!$B135="","",'Energy Data Input'!$B135)</f>
        <v/>
      </c>
      <c r="C135" s="102">
        <f>IF('Energy Data Input'!$C135="","",'Energy Data Input'!$C135)</f>
        <v/>
      </c>
      <c r="D135" s="102">
        <f>IF('Energy Data Input'!$D135="","",'Energy Data Input'!$D135)</f>
        <v/>
      </c>
      <c r="E135" s="102">
        <f>IF('Energy Data Input'!$E135="","",'Energy Data Input'!$E135)</f>
        <v/>
      </c>
      <c r="F135" s="102">
        <f>IF('Energy Data Input'!$G135="","",'Energy Data Input'!$G135)</f>
        <v/>
      </c>
      <c r="G135" s="102">
        <f>IF('Energy Data Input'!$H135="","",'Energy Data Input'!$H135)</f>
        <v/>
      </c>
      <c r="H135" s="102">
        <f>IF('Energy Data Input'!$J135="","",'Energy Data Input'!$J135)</f>
        <v/>
      </c>
      <c r="I135" s="142">
        <f>IF('Energy Data Input'!$N135="","",'Energy Data Input'!$N135)</f>
        <v/>
      </c>
      <c r="J135" s="142">
        <f>IF($B135="","",IFERROR(AVERAGEIFS('Energy Data Input'!$N$6:$N$205,'Energy Data Input'!$B$6:$B$205,"&gt;="&amp;$B135-7,'Energy Data Input'!$B$6:$B$205,"&lt;"&amp;$B135,'Energy Data Input'!$H$6:$H$205,$G135,'Energy Data Input'!$J$6:$J$205,$H135),$I135))</f>
        <v/>
      </c>
      <c r="K135" s="143">
        <f>IFERROR(($I135-$J135)/$J135,"")</f>
        <v/>
      </c>
      <c r="L135" s="102">
        <f>IF('Energy Data Input'!$V135="","",'Energy Data Input'!$V135)</f>
        <v/>
      </c>
      <c r="M135" s="102">
        <f>IF($H135="","",IFERROR(VLOOKUP($H135,'Base Settings'!$A$13:$K$19,5,FALSE),0.2))</f>
        <v/>
      </c>
      <c r="N135" s="102">
        <f>IF($B135="","",IF('Energy Data Input'!$L135="","Missing reading",IF($I135=0,"Stalled reading / possibly offline",IF($K135&gt;=IFERROR(VLOOKUP($H135,'Base Settings'!$A$13:$K$19,6,FALSE),0.5),"Severe spike",IF($K135&gt;=$M135,"Usage spike",IF($K135&lt;=-IFERROR(VLOOKUP($H135,'Base Settings'!$A$13:$K$19,7,FALSE),0.3),"Usage drop",IF($L135&gt;IFERROR(VLOOKUP($H135,'Base Settings'!$A$13:$K$19,8,FALSE),999999),"Area intensity overrun","Normal")))))))</f>
        <v/>
      </c>
      <c r="O135" s="102">
        <f>IF($N135="","",IF($N135="Normal","Normal",IF(OR($N135="Severe spike",$K135&gt;=IFERROR(VLOOKUP($H135,'Base Settings'!$A$13:$K$19,6,FALSE),0.5)),"Severe",IF(OR($N135="Usage spike",$N135="Usage drop"),"High","Medium"))))</f>
        <v/>
      </c>
      <c r="P135" s="144">
        <f>IF(OR($N135="",$N135="Normal"),0,ABS($I135-$J135)*'Energy Data Input'!$O135)</f>
        <v/>
      </c>
      <c r="Q135" s="102">
        <f>IF($N135="Normal","",IF($N135="Stalled reading / possibly offline","核查表计通信/Electricity池/网关/阀门Status",IF(AND($H135="Water",$N135&lt;&gt;"Normal"),"检查管网、阀门、卫生间、冷却塔及夜间最小流量",IF(AND($H135="Electricity",$N135&lt;&gt;"Normal"),"检查空调、照明、生产设备、PeakOff-peak时段与待机功耗",IF(AND($H135="Gas",$N135&lt;&gt;"Normal"),"检查燃Gas阀门、锅炉/厨房设备与泄漏风险","核查设备工况、排班、产量与计量数据")))))</f>
        <v/>
      </c>
      <c r="R135" s="102">
        <f>IF($H135="","",IFERROR(VLOOKUP($H135,'Base Settings'!$A$13:$K$19,11,FALSE),"Energy management owner"))</f>
        <v/>
      </c>
      <c r="S135" s="102">
        <f>IF($N135="","",IF($N135="Normal","No action needed","Open"))</f>
        <v/>
      </c>
      <c r="T135" s="141">
        <f>IF(OR($B135="",$N135="Normal"),"",WORKDAY($B135,IF($O135="Severe",1,IF($O135="High",2,3))))</f>
        <v/>
      </c>
      <c r="U135" s="102">
        <f>IF($T135="","",IF(AND($S135&lt;&gt;"Closed",TODAY()&gt;$T135),"Overdue","Not overdue"))</f>
        <v/>
      </c>
      <c r="V135" s="102" t="n"/>
      <c r="W135" s="141" t="n"/>
      <c r="X135" s="102" t="n"/>
    </row>
    <row r="136">
      <c r="A136" s="102">
        <f>IF('Energy Data Input'!$A136="","","AL-"&amp;TEXT(ROW()-5,"0000"))</f>
        <v/>
      </c>
      <c r="B136" s="141">
        <f>IF('Energy Data Input'!$B136="","",'Energy Data Input'!$B136)</f>
        <v/>
      </c>
      <c r="C136" s="102">
        <f>IF('Energy Data Input'!$C136="","",'Energy Data Input'!$C136)</f>
        <v/>
      </c>
      <c r="D136" s="102">
        <f>IF('Energy Data Input'!$D136="","",'Energy Data Input'!$D136)</f>
        <v/>
      </c>
      <c r="E136" s="102">
        <f>IF('Energy Data Input'!$E136="","",'Energy Data Input'!$E136)</f>
        <v/>
      </c>
      <c r="F136" s="102">
        <f>IF('Energy Data Input'!$G136="","",'Energy Data Input'!$G136)</f>
        <v/>
      </c>
      <c r="G136" s="102">
        <f>IF('Energy Data Input'!$H136="","",'Energy Data Input'!$H136)</f>
        <v/>
      </c>
      <c r="H136" s="102">
        <f>IF('Energy Data Input'!$J136="","",'Energy Data Input'!$J136)</f>
        <v/>
      </c>
      <c r="I136" s="142">
        <f>IF('Energy Data Input'!$N136="","",'Energy Data Input'!$N136)</f>
        <v/>
      </c>
      <c r="J136" s="142">
        <f>IF($B136="","",IFERROR(AVERAGEIFS('Energy Data Input'!$N$6:$N$205,'Energy Data Input'!$B$6:$B$205,"&gt;="&amp;$B136-7,'Energy Data Input'!$B$6:$B$205,"&lt;"&amp;$B136,'Energy Data Input'!$H$6:$H$205,$G136,'Energy Data Input'!$J$6:$J$205,$H136),$I136))</f>
        <v/>
      </c>
      <c r="K136" s="143">
        <f>IFERROR(($I136-$J136)/$J136,"")</f>
        <v/>
      </c>
      <c r="L136" s="102">
        <f>IF('Energy Data Input'!$V136="","",'Energy Data Input'!$V136)</f>
        <v/>
      </c>
      <c r="M136" s="102">
        <f>IF($H136="","",IFERROR(VLOOKUP($H136,'Base Settings'!$A$13:$K$19,5,FALSE),0.2))</f>
        <v/>
      </c>
      <c r="N136" s="102">
        <f>IF($B136="","",IF('Energy Data Input'!$L136="","Missing reading",IF($I136=0,"Stalled reading / possibly offline",IF($K136&gt;=IFERROR(VLOOKUP($H136,'Base Settings'!$A$13:$K$19,6,FALSE),0.5),"Severe spike",IF($K136&gt;=$M136,"Usage spike",IF($K136&lt;=-IFERROR(VLOOKUP($H136,'Base Settings'!$A$13:$K$19,7,FALSE),0.3),"Usage drop",IF($L136&gt;IFERROR(VLOOKUP($H136,'Base Settings'!$A$13:$K$19,8,FALSE),999999),"Area intensity overrun","Normal")))))))</f>
        <v/>
      </c>
      <c r="O136" s="102">
        <f>IF($N136="","",IF($N136="Normal","Normal",IF(OR($N136="Severe spike",$K136&gt;=IFERROR(VLOOKUP($H136,'Base Settings'!$A$13:$K$19,6,FALSE),0.5)),"Severe",IF(OR($N136="Usage spike",$N136="Usage drop"),"High","Medium"))))</f>
        <v/>
      </c>
      <c r="P136" s="144">
        <f>IF(OR($N136="",$N136="Normal"),0,ABS($I136-$J136)*'Energy Data Input'!$O136)</f>
        <v/>
      </c>
      <c r="Q136" s="102">
        <f>IF($N136="Normal","",IF($N136="Stalled reading / possibly offline","核查表计通信/Electricity池/网关/阀门Status",IF(AND($H136="Water",$N136&lt;&gt;"Normal"),"检查管网、阀门、卫生间、冷却塔及夜间最小流量",IF(AND($H136="Electricity",$N136&lt;&gt;"Normal"),"检查空调、照明、生产设备、PeakOff-peak时段与待机功耗",IF(AND($H136="Gas",$N136&lt;&gt;"Normal"),"检查燃Gas阀门、锅炉/厨房设备与泄漏风险","核查设备工况、排班、产量与计量数据")))))</f>
        <v/>
      </c>
      <c r="R136" s="102">
        <f>IF($H136="","",IFERROR(VLOOKUP($H136,'Base Settings'!$A$13:$K$19,11,FALSE),"Energy management owner"))</f>
        <v/>
      </c>
      <c r="S136" s="102">
        <f>IF($N136="","",IF($N136="Normal","No action needed","Open"))</f>
        <v/>
      </c>
      <c r="T136" s="141">
        <f>IF(OR($B136="",$N136="Normal"),"",WORKDAY($B136,IF($O136="Severe",1,IF($O136="High",2,3))))</f>
        <v/>
      </c>
      <c r="U136" s="102">
        <f>IF($T136="","",IF(AND($S136&lt;&gt;"Closed",TODAY()&gt;$T136),"Overdue","Not overdue"))</f>
        <v/>
      </c>
      <c r="V136" s="102" t="n"/>
      <c r="W136" s="141" t="n"/>
      <c r="X136" s="102" t="n"/>
    </row>
    <row r="137">
      <c r="A137" s="102">
        <f>IF('Energy Data Input'!$A137="","","AL-"&amp;TEXT(ROW()-5,"0000"))</f>
        <v/>
      </c>
      <c r="B137" s="141">
        <f>IF('Energy Data Input'!$B137="","",'Energy Data Input'!$B137)</f>
        <v/>
      </c>
      <c r="C137" s="102">
        <f>IF('Energy Data Input'!$C137="","",'Energy Data Input'!$C137)</f>
        <v/>
      </c>
      <c r="D137" s="102">
        <f>IF('Energy Data Input'!$D137="","",'Energy Data Input'!$D137)</f>
        <v/>
      </c>
      <c r="E137" s="102">
        <f>IF('Energy Data Input'!$E137="","",'Energy Data Input'!$E137)</f>
        <v/>
      </c>
      <c r="F137" s="102">
        <f>IF('Energy Data Input'!$G137="","",'Energy Data Input'!$G137)</f>
        <v/>
      </c>
      <c r="G137" s="102">
        <f>IF('Energy Data Input'!$H137="","",'Energy Data Input'!$H137)</f>
        <v/>
      </c>
      <c r="H137" s="102">
        <f>IF('Energy Data Input'!$J137="","",'Energy Data Input'!$J137)</f>
        <v/>
      </c>
      <c r="I137" s="142">
        <f>IF('Energy Data Input'!$N137="","",'Energy Data Input'!$N137)</f>
        <v/>
      </c>
      <c r="J137" s="142">
        <f>IF($B137="","",IFERROR(AVERAGEIFS('Energy Data Input'!$N$6:$N$205,'Energy Data Input'!$B$6:$B$205,"&gt;="&amp;$B137-7,'Energy Data Input'!$B$6:$B$205,"&lt;"&amp;$B137,'Energy Data Input'!$H$6:$H$205,$G137,'Energy Data Input'!$J$6:$J$205,$H137),$I137))</f>
        <v/>
      </c>
      <c r="K137" s="143">
        <f>IFERROR(($I137-$J137)/$J137,"")</f>
        <v/>
      </c>
      <c r="L137" s="102">
        <f>IF('Energy Data Input'!$V137="","",'Energy Data Input'!$V137)</f>
        <v/>
      </c>
      <c r="M137" s="102">
        <f>IF($H137="","",IFERROR(VLOOKUP($H137,'Base Settings'!$A$13:$K$19,5,FALSE),0.2))</f>
        <v/>
      </c>
      <c r="N137" s="102">
        <f>IF($B137="","",IF('Energy Data Input'!$L137="","Missing reading",IF($I137=0,"Stalled reading / possibly offline",IF($K137&gt;=IFERROR(VLOOKUP($H137,'Base Settings'!$A$13:$K$19,6,FALSE),0.5),"Severe spike",IF($K137&gt;=$M137,"Usage spike",IF($K137&lt;=-IFERROR(VLOOKUP($H137,'Base Settings'!$A$13:$K$19,7,FALSE),0.3),"Usage drop",IF($L137&gt;IFERROR(VLOOKUP($H137,'Base Settings'!$A$13:$K$19,8,FALSE),999999),"Area intensity overrun","Normal")))))))</f>
        <v/>
      </c>
      <c r="O137" s="102">
        <f>IF($N137="","",IF($N137="Normal","Normal",IF(OR($N137="Severe spike",$K137&gt;=IFERROR(VLOOKUP($H137,'Base Settings'!$A$13:$K$19,6,FALSE),0.5)),"Severe",IF(OR($N137="Usage spike",$N137="Usage drop"),"High","Medium"))))</f>
        <v/>
      </c>
      <c r="P137" s="144">
        <f>IF(OR($N137="",$N137="Normal"),0,ABS($I137-$J137)*'Energy Data Input'!$O137)</f>
        <v/>
      </c>
      <c r="Q137" s="102">
        <f>IF($N137="Normal","",IF($N137="Stalled reading / possibly offline","核查表计通信/Electricity池/网关/阀门Status",IF(AND($H137="Water",$N137&lt;&gt;"Normal"),"检查管网、阀门、卫生间、冷却塔及夜间最小流量",IF(AND($H137="Electricity",$N137&lt;&gt;"Normal"),"检查空调、照明、生产设备、PeakOff-peak时段与待机功耗",IF(AND($H137="Gas",$N137&lt;&gt;"Normal"),"检查燃Gas阀门、锅炉/厨房设备与泄漏风险","核查设备工况、排班、产量与计量数据")))))</f>
        <v/>
      </c>
      <c r="R137" s="102">
        <f>IF($H137="","",IFERROR(VLOOKUP($H137,'Base Settings'!$A$13:$K$19,11,FALSE),"Energy management owner"))</f>
        <v/>
      </c>
      <c r="S137" s="102">
        <f>IF($N137="","",IF($N137="Normal","No action needed","Open"))</f>
        <v/>
      </c>
      <c r="T137" s="141">
        <f>IF(OR($B137="",$N137="Normal"),"",WORKDAY($B137,IF($O137="Severe",1,IF($O137="High",2,3))))</f>
        <v/>
      </c>
      <c r="U137" s="102">
        <f>IF($T137="","",IF(AND($S137&lt;&gt;"Closed",TODAY()&gt;$T137),"Overdue","Not overdue"))</f>
        <v/>
      </c>
      <c r="V137" s="102" t="n"/>
      <c r="W137" s="141" t="n"/>
      <c r="X137" s="102" t="n"/>
    </row>
    <row r="138">
      <c r="A138" s="102">
        <f>IF('Energy Data Input'!$A138="","","AL-"&amp;TEXT(ROW()-5,"0000"))</f>
        <v/>
      </c>
      <c r="B138" s="141">
        <f>IF('Energy Data Input'!$B138="","",'Energy Data Input'!$B138)</f>
        <v/>
      </c>
      <c r="C138" s="102">
        <f>IF('Energy Data Input'!$C138="","",'Energy Data Input'!$C138)</f>
        <v/>
      </c>
      <c r="D138" s="102">
        <f>IF('Energy Data Input'!$D138="","",'Energy Data Input'!$D138)</f>
        <v/>
      </c>
      <c r="E138" s="102">
        <f>IF('Energy Data Input'!$E138="","",'Energy Data Input'!$E138)</f>
        <v/>
      </c>
      <c r="F138" s="102">
        <f>IF('Energy Data Input'!$G138="","",'Energy Data Input'!$G138)</f>
        <v/>
      </c>
      <c r="G138" s="102">
        <f>IF('Energy Data Input'!$H138="","",'Energy Data Input'!$H138)</f>
        <v/>
      </c>
      <c r="H138" s="102">
        <f>IF('Energy Data Input'!$J138="","",'Energy Data Input'!$J138)</f>
        <v/>
      </c>
      <c r="I138" s="142">
        <f>IF('Energy Data Input'!$N138="","",'Energy Data Input'!$N138)</f>
        <v/>
      </c>
      <c r="J138" s="142">
        <f>IF($B138="","",IFERROR(AVERAGEIFS('Energy Data Input'!$N$6:$N$205,'Energy Data Input'!$B$6:$B$205,"&gt;="&amp;$B138-7,'Energy Data Input'!$B$6:$B$205,"&lt;"&amp;$B138,'Energy Data Input'!$H$6:$H$205,$G138,'Energy Data Input'!$J$6:$J$205,$H138),$I138))</f>
        <v/>
      </c>
      <c r="K138" s="143">
        <f>IFERROR(($I138-$J138)/$J138,"")</f>
        <v/>
      </c>
      <c r="L138" s="102">
        <f>IF('Energy Data Input'!$V138="","",'Energy Data Input'!$V138)</f>
        <v/>
      </c>
      <c r="M138" s="102">
        <f>IF($H138="","",IFERROR(VLOOKUP($H138,'Base Settings'!$A$13:$K$19,5,FALSE),0.2))</f>
        <v/>
      </c>
      <c r="N138" s="102">
        <f>IF($B138="","",IF('Energy Data Input'!$L138="","Missing reading",IF($I138=0,"Stalled reading / possibly offline",IF($K138&gt;=IFERROR(VLOOKUP($H138,'Base Settings'!$A$13:$K$19,6,FALSE),0.5),"Severe spike",IF($K138&gt;=$M138,"Usage spike",IF($K138&lt;=-IFERROR(VLOOKUP($H138,'Base Settings'!$A$13:$K$19,7,FALSE),0.3),"Usage drop",IF($L138&gt;IFERROR(VLOOKUP($H138,'Base Settings'!$A$13:$K$19,8,FALSE),999999),"Area intensity overrun","Normal")))))))</f>
        <v/>
      </c>
      <c r="O138" s="102">
        <f>IF($N138="","",IF($N138="Normal","Normal",IF(OR($N138="Severe spike",$K138&gt;=IFERROR(VLOOKUP($H138,'Base Settings'!$A$13:$K$19,6,FALSE),0.5)),"Severe",IF(OR($N138="Usage spike",$N138="Usage drop"),"High","Medium"))))</f>
        <v/>
      </c>
      <c r="P138" s="144">
        <f>IF(OR($N138="",$N138="Normal"),0,ABS($I138-$J138)*'Energy Data Input'!$O138)</f>
        <v/>
      </c>
      <c r="Q138" s="102">
        <f>IF($N138="Normal","",IF($N138="Stalled reading / possibly offline","核查表计通信/Electricity池/网关/阀门Status",IF(AND($H138="Water",$N138&lt;&gt;"Normal"),"检查管网、阀门、卫生间、冷却塔及夜间最小流量",IF(AND($H138="Electricity",$N138&lt;&gt;"Normal"),"检查空调、照明、生产设备、PeakOff-peak时段与待机功耗",IF(AND($H138="Gas",$N138&lt;&gt;"Normal"),"检查燃Gas阀门、锅炉/厨房设备与泄漏风险","核查设备工况、排班、产量与计量数据")))))</f>
        <v/>
      </c>
      <c r="R138" s="102">
        <f>IF($H138="","",IFERROR(VLOOKUP($H138,'Base Settings'!$A$13:$K$19,11,FALSE),"Energy management owner"))</f>
        <v/>
      </c>
      <c r="S138" s="102">
        <f>IF($N138="","",IF($N138="Normal","No action needed","Open"))</f>
        <v/>
      </c>
      <c r="T138" s="141">
        <f>IF(OR($B138="",$N138="Normal"),"",WORKDAY($B138,IF($O138="Severe",1,IF($O138="High",2,3))))</f>
        <v/>
      </c>
      <c r="U138" s="102">
        <f>IF($T138="","",IF(AND($S138&lt;&gt;"Closed",TODAY()&gt;$T138),"Overdue","Not overdue"))</f>
        <v/>
      </c>
      <c r="V138" s="102" t="n"/>
      <c r="W138" s="141" t="n"/>
      <c r="X138" s="102" t="n"/>
    </row>
    <row r="139">
      <c r="A139" s="102">
        <f>IF('Energy Data Input'!$A139="","","AL-"&amp;TEXT(ROW()-5,"0000"))</f>
        <v/>
      </c>
      <c r="B139" s="141">
        <f>IF('Energy Data Input'!$B139="","",'Energy Data Input'!$B139)</f>
        <v/>
      </c>
      <c r="C139" s="102">
        <f>IF('Energy Data Input'!$C139="","",'Energy Data Input'!$C139)</f>
        <v/>
      </c>
      <c r="D139" s="102">
        <f>IF('Energy Data Input'!$D139="","",'Energy Data Input'!$D139)</f>
        <v/>
      </c>
      <c r="E139" s="102">
        <f>IF('Energy Data Input'!$E139="","",'Energy Data Input'!$E139)</f>
        <v/>
      </c>
      <c r="F139" s="102">
        <f>IF('Energy Data Input'!$G139="","",'Energy Data Input'!$G139)</f>
        <v/>
      </c>
      <c r="G139" s="102">
        <f>IF('Energy Data Input'!$H139="","",'Energy Data Input'!$H139)</f>
        <v/>
      </c>
      <c r="H139" s="102">
        <f>IF('Energy Data Input'!$J139="","",'Energy Data Input'!$J139)</f>
        <v/>
      </c>
      <c r="I139" s="142">
        <f>IF('Energy Data Input'!$N139="","",'Energy Data Input'!$N139)</f>
        <v/>
      </c>
      <c r="J139" s="142">
        <f>IF($B139="","",IFERROR(AVERAGEIFS('Energy Data Input'!$N$6:$N$205,'Energy Data Input'!$B$6:$B$205,"&gt;="&amp;$B139-7,'Energy Data Input'!$B$6:$B$205,"&lt;"&amp;$B139,'Energy Data Input'!$H$6:$H$205,$G139,'Energy Data Input'!$J$6:$J$205,$H139),$I139))</f>
        <v/>
      </c>
      <c r="K139" s="143">
        <f>IFERROR(($I139-$J139)/$J139,"")</f>
        <v/>
      </c>
      <c r="L139" s="102">
        <f>IF('Energy Data Input'!$V139="","",'Energy Data Input'!$V139)</f>
        <v/>
      </c>
      <c r="M139" s="102">
        <f>IF($H139="","",IFERROR(VLOOKUP($H139,'Base Settings'!$A$13:$K$19,5,FALSE),0.2))</f>
        <v/>
      </c>
      <c r="N139" s="102">
        <f>IF($B139="","",IF('Energy Data Input'!$L139="","Missing reading",IF($I139=0,"Stalled reading / possibly offline",IF($K139&gt;=IFERROR(VLOOKUP($H139,'Base Settings'!$A$13:$K$19,6,FALSE),0.5),"Severe spike",IF($K139&gt;=$M139,"Usage spike",IF($K139&lt;=-IFERROR(VLOOKUP($H139,'Base Settings'!$A$13:$K$19,7,FALSE),0.3),"Usage drop",IF($L139&gt;IFERROR(VLOOKUP($H139,'Base Settings'!$A$13:$K$19,8,FALSE),999999),"Area intensity overrun","Normal")))))))</f>
        <v/>
      </c>
      <c r="O139" s="102">
        <f>IF($N139="","",IF($N139="Normal","Normal",IF(OR($N139="Severe spike",$K139&gt;=IFERROR(VLOOKUP($H139,'Base Settings'!$A$13:$K$19,6,FALSE),0.5)),"Severe",IF(OR($N139="Usage spike",$N139="Usage drop"),"High","Medium"))))</f>
        <v/>
      </c>
      <c r="P139" s="144">
        <f>IF(OR($N139="",$N139="Normal"),0,ABS($I139-$J139)*'Energy Data Input'!$O139)</f>
        <v/>
      </c>
      <c r="Q139" s="102">
        <f>IF($N139="Normal","",IF($N139="Stalled reading / possibly offline","核查表计通信/Electricity池/网关/阀门Status",IF(AND($H139="Water",$N139&lt;&gt;"Normal"),"检查管网、阀门、卫生间、冷却塔及夜间最小流量",IF(AND($H139="Electricity",$N139&lt;&gt;"Normal"),"检查空调、照明、生产设备、PeakOff-peak时段与待机功耗",IF(AND($H139="Gas",$N139&lt;&gt;"Normal"),"检查燃Gas阀门、锅炉/厨房设备与泄漏风险","核查设备工况、排班、产量与计量数据")))))</f>
        <v/>
      </c>
      <c r="R139" s="102">
        <f>IF($H139="","",IFERROR(VLOOKUP($H139,'Base Settings'!$A$13:$K$19,11,FALSE),"Energy management owner"))</f>
        <v/>
      </c>
      <c r="S139" s="102">
        <f>IF($N139="","",IF($N139="Normal","No action needed","Open"))</f>
        <v/>
      </c>
      <c r="T139" s="141">
        <f>IF(OR($B139="",$N139="Normal"),"",WORKDAY($B139,IF($O139="Severe",1,IF($O139="High",2,3))))</f>
        <v/>
      </c>
      <c r="U139" s="102">
        <f>IF($T139="","",IF(AND($S139&lt;&gt;"Closed",TODAY()&gt;$T139),"Overdue","Not overdue"))</f>
        <v/>
      </c>
      <c r="V139" s="102" t="n"/>
      <c r="W139" s="141" t="n"/>
      <c r="X139" s="102" t="n"/>
    </row>
    <row r="140">
      <c r="A140" s="102">
        <f>IF('Energy Data Input'!$A140="","","AL-"&amp;TEXT(ROW()-5,"0000"))</f>
        <v/>
      </c>
      <c r="B140" s="141">
        <f>IF('Energy Data Input'!$B140="","",'Energy Data Input'!$B140)</f>
        <v/>
      </c>
      <c r="C140" s="102">
        <f>IF('Energy Data Input'!$C140="","",'Energy Data Input'!$C140)</f>
        <v/>
      </c>
      <c r="D140" s="102">
        <f>IF('Energy Data Input'!$D140="","",'Energy Data Input'!$D140)</f>
        <v/>
      </c>
      <c r="E140" s="102">
        <f>IF('Energy Data Input'!$E140="","",'Energy Data Input'!$E140)</f>
        <v/>
      </c>
      <c r="F140" s="102">
        <f>IF('Energy Data Input'!$G140="","",'Energy Data Input'!$G140)</f>
        <v/>
      </c>
      <c r="G140" s="102">
        <f>IF('Energy Data Input'!$H140="","",'Energy Data Input'!$H140)</f>
        <v/>
      </c>
      <c r="H140" s="102">
        <f>IF('Energy Data Input'!$J140="","",'Energy Data Input'!$J140)</f>
        <v/>
      </c>
      <c r="I140" s="142">
        <f>IF('Energy Data Input'!$N140="","",'Energy Data Input'!$N140)</f>
        <v/>
      </c>
      <c r="J140" s="142">
        <f>IF($B140="","",IFERROR(AVERAGEIFS('Energy Data Input'!$N$6:$N$205,'Energy Data Input'!$B$6:$B$205,"&gt;="&amp;$B140-7,'Energy Data Input'!$B$6:$B$205,"&lt;"&amp;$B140,'Energy Data Input'!$H$6:$H$205,$G140,'Energy Data Input'!$J$6:$J$205,$H140),$I140))</f>
        <v/>
      </c>
      <c r="K140" s="143">
        <f>IFERROR(($I140-$J140)/$J140,"")</f>
        <v/>
      </c>
      <c r="L140" s="102">
        <f>IF('Energy Data Input'!$V140="","",'Energy Data Input'!$V140)</f>
        <v/>
      </c>
      <c r="M140" s="102">
        <f>IF($H140="","",IFERROR(VLOOKUP($H140,'Base Settings'!$A$13:$K$19,5,FALSE),0.2))</f>
        <v/>
      </c>
      <c r="N140" s="102">
        <f>IF($B140="","",IF('Energy Data Input'!$L140="","Missing reading",IF($I140=0,"Stalled reading / possibly offline",IF($K140&gt;=IFERROR(VLOOKUP($H140,'Base Settings'!$A$13:$K$19,6,FALSE),0.5),"Severe spike",IF($K140&gt;=$M140,"Usage spike",IF($K140&lt;=-IFERROR(VLOOKUP($H140,'Base Settings'!$A$13:$K$19,7,FALSE),0.3),"Usage drop",IF($L140&gt;IFERROR(VLOOKUP($H140,'Base Settings'!$A$13:$K$19,8,FALSE),999999),"Area intensity overrun","Normal")))))))</f>
        <v/>
      </c>
      <c r="O140" s="102">
        <f>IF($N140="","",IF($N140="Normal","Normal",IF(OR($N140="Severe spike",$K140&gt;=IFERROR(VLOOKUP($H140,'Base Settings'!$A$13:$K$19,6,FALSE),0.5)),"Severe",IF(OR($N140="Usage spike",$N140="Usage drop"),"High","Medium"))))</f>
        <v/>
      </c>
      <c r="P140" s="144">
        <f>IF(OR($N140="",$N140="Normal"),0,ABS($I140-$J140)*'Energy Data Input'!$O140)</f>
        <v/>
      </c>
      <c r="Q140" s="102">
        <f>IF($N140="Normal","",IF($N140="Stalled reading / possibly offline","核查表计通信/Electricity池/网关/阀门Status",IF(AND($H140="Water",$N140&lt;&gt;"Normal"),"检查管网、阀门、卫生间、冷却塔及夜间最小流量",IF(AND($H140="Electricity",$N140&lt;&gt;"Normal"),"检查空调、照明、生产设备、PeakOff-peak时段与待机功耗",IF(AND($H140="Gas",$N140&lt;&gt;"Normal"),"检查燃Gas阀门、锅炉/厨房设备与泄漏风险","核查设备工况、排班、产量与计量数据")))))</f>
        <v/>
      </c>
      <c r="R140" s="102">
        <f>IF($H140="","",IFERROR(VLOOKUP($H140,'Base Settings'!$A$13:$K$19,11,FALSE),"Energy management owner"))</f>
        <v/>
      </c>
      <c r="S140" s="102">
        <f>IF($N140="","",IF($N140="Normal","No action needed","Open"))</f>
        <v/>
      </c>
      <c r="T140" s="141">
        <f>IF(OR($B140="",$N140="Normal"),"",WORKDAY($B140,IF($O140="Severe",1,IF($O140="High",2,3))))</f>
        <v/>
      </c>
      <c r="U140" s="102">
        <f>IF($T140="","",IF(AND($S140&lt;&gt;"Closed",TODAY()&gt;$T140),"Overdue","Not overdue"))</f>
        <v/>
      </c>
      <c r="V140" s="102" t="n"/>
      <c r="W140" s="141" t="n"/>
      <c r="X140" s="102" t="n"/>
    </row>
    <row r="141">
      <c r="A141" s="102">
        <f>IF('Energy Data Input'!$A141="","","AL-"&amp;TEXT(ROW()-5,"0000"))</f>
        <v/>
      </c>
      <c r="B141" s="141">
        <f>IF('Energy Data Input'!$B141="","",'Energy Data Input'!$B141)</f>
        <v/>
      </c>
      <c r="C141" s="102">
        <f>IF('Energy Data Input'!$C141="","",'Energy Data Input'!$C141)</f>
        <v/>
      </c>
      <c r="D141" s="102">
        <f>IF('Energy Data Input'!$D141="","",'Energy Data Input'!$D141)</f>
        <v/>
      </c>
      <c r="E141" s="102">
        <f>IF('Energy Data Input'!$E141="","",'Energy Data Input'!$E141)</f>
        <v/>
      </c>
      <c r="F141" s="102">
        <f>IF('Energy Data Input'!$G141="","",'Energy Data Input'!$G141)</f>
        <v/>
      </c>
      <c r="G141" s="102">
        <f>IF('Energy Data Input'!$H141="","",'Energy Data Input'!$H141)</f>
        <v/>
      </c>
      <c r="H141" s="102">
        <f>IF('Energy Data Input'!$J141="","",'Energy Data Input'!$J141)</f>
        <v/>
      </c>
      <c r="I141" s="142">
        <f>IF('Energy Data Input'!$N141="","",'Energy Data Input'!$N141)</f>
        <v/>
      </c>
      <c r="J141" s="142">
        <f>IF($B141="","",IFERROR(AVERAGEIFS('Energy Data Input'!$N$6:$N$205,'Energy Data Input'!$B$6:$B$205,"&gt;="&amp;$B141-7,'Energy Data Input'!$B$6:$B$205,"&lt;"&amp;$B141,'Energy Data Input'!$H$6:$H$205,$G141,'Energy Data Input'!$J$6:$J$205,$H141),$I141))</f>
        <v/>
      </c>
      <c r="K141" s="143">
        <f>IFERROR(($I141-$J141)/$J141,"")</f>
        <v/>
      </c>
      <c r="L141" s="102">
        <f>IF('Energy Data Input'!$V141="","",'Energy Data Input'!$V141)</f>
        <v/>
      </c>
      <c r="M141" s="102">
        <f>IF($H141="","",IFERROR(VLOOKUP($H141,'Base Settings'!$A$13:$K$19,5,FALSE),0.2))</f>
        <v/>
      </c>
      <c r="N141" s="102">
        <f>IF($B141="","",IF('Energy Data Input'!$L141="","Missing reading",IF($I141=0,"Stalled reading / possibly offline",IF($K141&gt;=IFERROR(VLOOKUP($H141,'Base Settings'!$A$13:$K$19,6,FALSE),0.5),"Severe spike",IF($K141&gt;=$M141,"Usage spike",IF($K141&lt;=-IFERROR(VLOOKUP($H141,'Base Settings'!$A$13:$K$19,7,FALSE),0.3),"Usage drop",IF($L141&gt;IFERROR(VLOOKUP($H141,'Base Settings'!$A$13:$K$19,8,FALSE),999999),"Area intensity overrun","Normal")))))))</f>
        <v/>
      </c>
      <c r="O141" s="102">
        <f>IF($N141="","",IF($N141="Normal","Normal",IF(OR($N141="Severe spike",$K141&gt;=IFERROR(VLOOKUP($H141,'Base Settings'!$A$13:$K$19,6,FALSE),0.5)),"Severe",IF(OR($N141="Usage spike",$N141="Usage drop"),"High","Medium"))))</f>
        <v/>
      </c>
      <c r="P141" s="144">
        <f>IF(OR($N141="",$N141="Normal"),0,ABS($I141-$J141)*'Energy Data Input'!$O141)</f>
        <v/>
      </c>
      <c r="Q141" s="102">
        <f>IF($N141="Normal","",IF($N141="Stalled reading / possibly offline","核查表计通信/Electricity池/网关/阀门Status",IF(AND($H141="Water",$N141&lt;&gt;"Normal"),"检查管网、阀门、卫生间、冷却塔及夜间最小流量",IF(AND($H141="Electricity",$N141&lt;&gt;"Normal"),"检查空调、照明、生产设备、PeakOff-peak时段与待机功耗",IF(AND($H141="Gas",$N141&lt;&gt;"Normal"),"检查燃Gas阀门、锅炉/厨房设备与泄漏风险","核查设备工况、排班、产量与计量数据")))))</f>
        <v/>
      </c>
      <c r="R141" s="102">
        <f>IF($H141="","",IFERROR(VLOOKUP($H141,'Base Settings'!$A$13:$K$19,11,FALSE),"Energy management owner"))</f>
        <v/>
      </c>
      <c r="S141" s="102">
        <f>IF($N141="","",IF($N141="Normal","No action needed","Open"))</f>
        <v/>
      </c>
      <c r="T141" s="141">
        <f>IF(OR($B141="",$N141="Normal"),"",WORKDAY($B141,IF($O141="Severe",1,IF($O141="High",2,3))))</f>
        <v/>
      </c>
      <c r="U141" s="102">
        <f>IF($T141="","",IF(AND($S141&lt;&gt;"Closed",TODAY()&gt;$T141),"Overdue","Not overdue"))</f>
        <v/>
      </c>
      <c r="V141" s="102" t="n"/>
      <c r="W141" s="141" t="n"/>
      <c r="X141" s="102" t="n"/>
    </row>
    <row r="142">
      <c r="A142" s="102">
        <f>IF('Energy Data Input'!$A142="","","AL-"&amp;TEXT(ROW()-5,"0000"))</f>
        <v/>
      </c>
      <c r="B142" s="141">
        <f>IF('Energy Data Input'!$B142="","",'Energy Data Input'!$B142)</f>
        <v/>
      </c>
      <c r="C142" s="102">
        <f>IF('Energy Data Input'!$C142="","",'Energy Data Input'!$C142)</f>
        <v/>
      </c>
      <c r="D142" s="102">
        <f>IF('Energy Data Input'!$D142="","",'Energy Data Input'!$D142)</f>
        <v/>
      </c>
      <c r="E142" s="102">
        <f>IF('Energy Data Input'!$E142="","",'Energy Data Input'!$E142)</f>
        <v/>
      </c>
      <c r="F142" s="102">
        <f>IF('Energy Data Input'!$G142="","",'Energy Data Input'!$G142)</f>
        <v/>
      </c>
      <c r="G142" s="102">
        <f>IF('Energy Data Input'!$H142="","",'Energy Data Input'!$H142)</f>
        <v/>
      </c>
      <c r="H142" s="102">
        <f>IF('Energy Data Input'!$J142="","",'Energy Data Input'!$J142)</f>
        <v/>
      </c>
      <c r="I142" s="142">
        <f>IF('Energy Data Input'!$N142="","",'Energy Data Input'!$N142)</f>
        <v/>
      </c>
      <c r="J142" s="142">
        <f>IF($B142="","",IFERROR(AVERAGEIFS('Energy Data Input'!$N$6:$N$205,'Energy Data Input'!$B$6:$B$205,"&gt;="&amp;$B142-7,'Energy Data Input'!$B$6:$B$205,"&lt;"&amp;$B142,'Energy Data Input'!$H$6:$H$205,$G142,'Energy Data Input'!$J$6:$J$205,$H142),$I142))</f>
        <v/>
      </c>
      <c r="K142" s="143">
        <f>IFERROR(($I142-$J142)/$J142,"")</f>
        <v/>
      </c>
      <c r="L142" s="102">
        <f>IF('Energy Data Input'!$V142="","",'Energy Data Input'!$V142)</f>
        <v/>
      </c>
      <c r="M142" s="102">
        <f>IF($H142="","",IFERROR(VLOOKUP($H142,'Base Settings'!$A$13:$K$19,5,FALSE),0.2))</f>
        <v/>
      </c>
      <c r="N142" s="102">
        <f>IF($B142="","",IF('Energy Data Input'!$L142="","Missing reading",IF($I142=0,"Stalled reading / possibly offline",IF($K142&gt;=IFERROR(VLOOKUP($H142,'Base Settings'!$A$13:$K$19,6,FALSE),0.5),"Severe spike",IF($K142&gt;=$M142,"Usage spike",IF($K142&lt;=-IFERROR(VLOOKUP($H142,'Base Settings'!$A$13:$K$19,7,FALSE),0.3),"Usage drop",IF($L142&gt;IFERROR(VLOOKUP($H142,'Base Settings'!$A$13:$K$19,8,FALSE),999999),"Area intensity overrun","Normal")))))))</f>
        <v/>
      </c>
      <c r="O142" s="102">
        <f>IF($N142="","",IF($N142="Normal","Normal",IF(OR($N142="Severe spike",$K142&gt;=IFERROR(VLOOKUP($H142,'Base Settings'!$A$13:$K$19,6,FALSE),0.5)),"Severe",IF(OR($N142="Usage spike",$N142="Usage drop"),"High","Medium"))))</f>
        <v/>
      </c>
      <c r="P142" s="144">
        <f>IF(OR($N142="",$N142="Normal"),0,ABS($I142-$J142)*'Energy Data Input'!$O142)</f>
        <v/>
      </c>
      <c r="Q142" s="102">
        <f>IF($N142="Normal","",IF($N142="Stalled reading / possibly offline","核查表计通信/Electricity池/网关/阀门Status",IF(AND($H142="Water",$N142&lt;&gt;"Normal"),"检查管网、阀门、卫生间、冷却塔及夜间最小流量",IF(AND($H142="Electricity",$N142&lt;&gt;"Normal"),"检查空调、照明、生产设备、PeakOff-peak时段与待机功耗",IF(AND($H142="Gas",$N142&lt;&gt;"Normal"),"检查燃Gas阀门、锅炉/厨房设备与泄漏风险","核查设备工况、排班、产量与计量数据")))))</f>
        <v/>
      </c>
      <c r="R142" s="102">
        <f>IF($H142="","",IFERROR(VLOOKUP($H142,'Base Settings'!$A$13:$K$19,11,FALSE),"Energy management owner"))</f>
        <v/>
      </c>
      <c r="S142" s="102">
        <f>IF($N142="","",IF($N142="Normal","No action needed","Open"))</f>
        <v/>
      </c>
      <c r="T142" s="141">
        <f>IF(OR($B142="",$N142="Normal"),"",WORKDAY($B142,IF($O142="Severe",1,IF($O142="High",2,3))))</f>
        <v/>
      </c>
      <c r="U142" s="102">
        <f>IF($T142="","",IF(AND($S142&lt;&gt;"Closed",TODAY()&gt;$T142),"Overdue","Not overdue"))</f>
        <v/>
      </c>
      <c r="V142" s="102" t="n"/>
      <c r="W142" s="141" t="n"/>
      <c r="X142" s="102" t="n"/>
    </row>
    <row r="143">
      <c r="A143" s="102">
        <f>IF('Energy Data Input'!$A143="","","AL-"&amp;TEXT(ROW()-5,"0000"))</f>
        <v/>
      </c>
      <c r="B143" s="141">
        <f>IF('Energy Data Input'!$B143="","",'Energy Data Input'!$B143)</f>
        <v/>
      </c>
      <c r="C143" s="102">
        <f>IF('Energy Data Input'!$C143="","",'Energy Data Input'!$C143)</f>
        <v/>
      </c>
      <c r="D143" s="102">
        <f>IF('Energy Data Input'!$D143="","",'Energy Data Input'!$D143)</f>
        <v/>
      </c>
      <c r="E143" s="102">
        <f>IF('Energy Data Input'!$E143="","",'Energy Data Input'!$E143)</f>
        <v/>
      </c>
      <c r="F143" s="102">
        <f>IF('Energy Data Input'!$G143="","",'Energy Data Input'!$G143)</f>
        <v/>
      </c>
      <c r="G143" s="102">
        <f>IF('Energy Data Input'!$H143="","",'Energy Data Input'!$H143)</f>
        <v/>
      </c>
      <c r="H143" s="102">
        <f>IF('Energy Data Input'!$J143="","",'Energy Data Input'!$J143)</f>
        <v/>
      </c>
      <c r="I143" s="142">
        <f>IF('Energy Data Input'!$N143="","",'Energy Data Input'!$N143)</f>
        <v/>
      </c>
      <c r="J143" s="142">
        <f>IF($B143="","",IFERROR(AVERAGEIFS('Energy Data Input'!$N$6:$N$205,'Energy Data Input'!$B$6:$B$205,"&gt;="&amp;$B143-7,'Energy Data Input'!$B$6:$B$205,"&lt;"&amp;$B143,'Energy Data Input'!$H$6:$H$205,$G143,'Energy Data Input'!$J$6:$J$205,$H143),$I143))</f>
        <v/>
      </c>
      <c r="K143" s="143">
        <f>IFERROR(($I143-$J143)/$J143,"")</f>
        <v/>
      </c>
      <c r="L143" s="102">
        <f>IF('Energy Data Input'!$V143="","",'Energy Data Input'!$V143)</f>
        <v/>
      </c>
      <c r="M143" s="102">
        <f>IF($H143="","",IFERROR(VLOOKUP($H143,'Base Settings'!$A$13:$K$19,5,FALSE),0.2))</f>
        <v/>
      </c>
      <c r="N143" s="102">
        <f>IF($B143="","",IF('Energy Data Input'!$L143="","Missing reading",IF($I143=0,"Stalled reading / possibly offline",IF($K143&gt;=IFERROR(VLOOKUP($H143,'Base Settings'!$A$13:$K$19,6,FALSE),0.5),"Severe spike",IF($K143&gt;=$M143,"Usage spike",IF($K143&lt;=-IFERROR(VLOOKUP($H143,'Base Settings'!$A$13:$K$19,7,FALSE),0.3),"Usage drop",IF($L143&gt;IFERROR(VLOOKUP($H143,'Base Settings'!$A$13:$K$19,8,FALSE),999999),"Area intensity overrun","Normal")))))))</f>
        <v/>
      </c>
      <c r="O143" s="102">
        <f>IF($N143="","",IF($N143="Normal","Normal",IF(OR($N143="Severe spike",$K143&gt;=IFERROR(VLOOKUP($H143,'Base Settings'!$A$13:$K$19,6,FALSE),0.5)),"Severe",IF(OR($N143="Usage spike",$N143="Usage drop"),"High","Medium"))))</f>
        <v/>
      </c>
      <c r="P143" s="144">
        <f>IF(OR($N143="",$N143="Normal"),0,ABS($I143-$J143)*'Energy Data Input'!$O143)</f>
        <v/>
      </c>
      <c r="Q143" s="102">
        <f>IF($N143="Normal","",IF($N143="Stalled reading / possibly offline","核查表计通信/Electricity池/网关/阀门Status",IF(AND($H143="Water",$N143&lt;&gt;"Normal"),"检查管网、阀门、卫生间、冷却塔及夜间最小流量",IF(AND($H143="Electricity",$N143&lt;&gt;"Normal"),"检查空调、照明、生产设备、PeakOff-peak时段与待机功耗",IF(AND($H143="Gas",$N143&lt;&gt;"Normal"),"检查燃Gas阀门、锅炉/厨房设备与泄漏风险","核查设备工况、排班、产量与计量数据")))))</f>
        <v/>
      </c>
      <c r="R143" s="102">
        <f>IF($H143="","",IFERROR(VLOOKUP($H143,'Base Settings'!$A$13:$K$19,11,FALSE),"Energy management owner"))</f>
        <v/>
      </c>
      <c r="S143" s="102">
        <f>IF($N143="","",IF($N143="Normal","No action needed","Open"))</f>
        <v/>
      </c>
      <c r="T143" s="141">
        <f>IF(OR($B143="",$N143="Normal"),"",WORKDAY($B143,IF($O143="Severe",1,IF($O143="High",2,3))))</f>
        <v/>
      </c>
      <c r="U143" s="102">
        <f>IF($T143="","",IF(AND($S143&lt;&gt;"Closed",TODAY()&gt;$T143),"Overdue","Not overdue"))</f>
        <v/>
      </c>
      <c r="V143" s="102" t="n"/>
      <c r="W143" s="141" t="n"/>
      <c r="X143" s="102" t="n"/>
    </row>
    <row r="144">
      <c r="A144" s="102">
        <f>IF('Energy Data Input'!$A144="","","AL-"&amp;TEXT(ROW()-5,"0000"))</f>
        <v/>
      </c>
      <c r="B144" s="141">
        <f>IF('Energy Data Input'!$B144="","",'Energy Data Input'!$B144)</f>
        <v/>
      </c>
      <c r="C144" s="102">
        <f>IF('Energy Data Input'!$C144="","",'Energy Data Input'!$C144)</f>
        <v/>
      </c>
      <c r="D144" s="102">
        <f>IF('Energy Data Input'!$D144="","",'Energy Data Input'!$D144)</f>
        <v/>
      </c>
      <c r="E144" s="102">
        <f>IF('Energy Data Input'!$E144="","",'Energy Data Input'!$E144)</f>
        <v/>
      </c>
      <c r="F144" s="102">
        <f>IF('Energy Data Input'!$G144="","",'Energy Data Input'!$G144)</f>
        <v/>
      </c>
      <c r="G144" s="102">
        <f>IF('Energy Data Input'!$H144="","",'Energy Data Input'!$H144)</f>
        <v/>
      </c>
      <c r="H144" s="102">
        <f>IF('Energy Data Input'!$J144="","",'Energy Data Input'!$J144)</f>
        <v/>
      </c>
      <c r="I144" s="142">
        <f>IF('Energy Data Input'!$N144="","",'Energy Data Input'!$N144)</f>
        <v/>
      </c>
      <c r="J144" s="142">
        <f>IF($B144="","",IFERROR(AVERAGEIFS('Energy Data Input'!$N$6:$N$205,'Energy Data Input'!$B$6:$B$205,"&gt;="&amp;$B144-7,'Energy Data Input'!$B$6:$B$205,"&lt;"&amp;$B144,'Energy Data Input'!$H$6:$H$205,$G144,'Energy Data Input'!$J$6:$J$205,$H144),$I144))</f>
        <v/>
      </c>
      <c r="K144" s="143">
        <f>IFERROR(($I144-$J144)/$J144,"")</f>
        <v/>
      </c>
      <c r="L144" s="102">
        <f>IF('Energy Data Input'!$V144="","",'Energy Data Input'!$V144)</f>
        <v/>
      </c>
      <c r="M144" s="102">
        <f>IF($H144="","",IFERROR(VLOOKUP($H144,'Base Settings'!$A$13:$K$19,5,FALSE),0.2))</f>
        <v/>
      </c>
      <c r="N144" s="102">
        <f>IF($B144="","",IF('Energy Data Input'!$L144="","Missing reading",IF($I144=0,"Stalled reading / possibly offline",IF($K144&gt;=IFERROR(VLOOKUP($H144,'Base Settings'!$A$13:$K$19,6,FALSE),0.5),"Severe spike",IF($K144&gt;=$M144,"Usage spike",IF($K144&lt;=-IFERROR(VLOOKUP($H144,'Base Settings'!$A$13:$K$19,7,FALSE),0.3),"Usage drop",IF($L144&gt;IFERROR(VLOOKUP($H144,'Base Settings'!$A$13:$K$19,8,FALSE),999999),"Area intensity overrun","Normal")))))))</f>
        <v/>
      </c>
      <c r="O144" s="102">
        <f>IF($N144="","",IF($N144="Normal","Normal",IF(OR($N144="Severe spike",$K144&gt;=IFERROR(VLOOKUP($H144,'Base Settings'!$A$13:$K$19,6,FALSE),0.5)),"Severe",IF(OR($N144="Usage spike",$N144="Usage drop"),"High","Medium"))))</f>
        <v/>
      </c>
      <c r="P144" s="144">
        <f>IF(OR($N144="",$N144="Normal"),0,ABS($I144-$J144)*'Energy Data Input'!$O144)</f>
        <v/>
      </c>
      <c r="Q144" s="102">
        <f>IF($N144="Normal","",IF($N144="Stalled reading / possibly offline","核查表计通信/Electricity池/网关/阀门Status",IF(AND($H144="Water",$N144&lt;&gt;"Normal"),"检查管网、阀门、卫生间、冷却塔及夜间最小流量",IF(AND($H144="Electricity",$N144&lt;&gt;"Normal"),"检查空调、照明、生产设备、PeakOff-peak时段与待机功耗",IF(AND($H144="Gas",$N144&lt;&gt;"Normal"),"检查燃Gas阀门、锅炉/厨房设备与泄漏风险","核查设备工况、排班、产量与计量数据")))))</f>
        <v/>
      </c>
      <c r="R144" s="102">
        <f>IF($H144="","",IFERROR(VLOOKUP($H144,'Base Settings'!$A$13:$K$19,11,FALSE),"Energy management owner"))</f>
        <v/>
      </c>
      <c r="S144" s="102">
        <f>IF($N144="","",IF($N144="Normal","No action needed","Open"))</f>
        <v/>
      </c>
      <c r="T144" s="141">
        <f>IF(OR($B144="",$N144="Normal"),"",WORKDAY($B144,IF($O144="Severe",1,IF($O144="High",2,3))))</f>
        <v/>
      </c>
      <c r="U144" s="102">
        <f>IF($T144="","",IF(AND($S144&lt;&gt;"Closed",TODAY()&gt;$T144),"Overdue","Not overdue"))</f>
        <v/>
      </c>
      <c r="V144" s="102" t="n"/>
      <c r="W144" s="141" t="n"/>
      <c r="X144" s="102" t="n"/>
    </row>
    <row r="145">
      <c r="A145" s="102">
        <f>IF('Energy Data Input'!$A145="","","AL-"&amp;TEXT(ROW()-5,"0000"))</f>
        <v/>
      </c>
      <c r="B145" s="141">
        <f>IF('Energy Data Input'!$B145="","",'Energy Data Input'!$B145)</f>
        <v/>
      </c>
      <c r="C145" s="102">
        <f>IF('Energy Data Input'!$C145="","",'Energy Data Input'!$C145)</f>
        <v/>
      </c>
      <c r="D145" s="102">
        <f>IF('Energy Data Input'!$D145="","",'Energy Data Input'!$D145)</f>
        <v/>
      </c>
      <c r="E145" s="102">
        <f>IF('Energy Data Input'!$E145="","",'Energy Data Input'!$E145)</f>
        <v/>
      </c>
      <c r="F145" s="102">
        <f>IF('Energy Data Input'!$G145="","",'Energy Data Input'!$G145)</f>
        <v/>
      </c>
      <c r="G145" s="102">
        <f>IF('Energy Data Input'!$H145="","",'Energy Data Input'!$H145)</f>
        <v/>
      </c>
      <c r="H145" s="102">
        <f>IF('Energy Data Input'!$J145="","",'Energy Data Input'!$J145)</f>
        <v/>
      </c>
      <c r="I145" s="142">
        <f>IF('Energy Data Input'!$N145="","",'Energy Data Input'!$N145)</f>
        <v/>
      </c>
      <c r="J145" s="142">
        <f>IF($B145="","",IFERROR(AVERAGEIFS('Energy Data Input'!$N$6:$N$205,'Energy Data Input'!$B$6:$B$205,"&gt;="&amp;$B145-7,'Energy Data Input'!$B$6:$B$205,"&lt;"&amp;$B145,'Energy Data Input'!$H$6:$H$205,$G145,'Energy Data Input'!$J$6:$J$205,$H145),$I145))</f>
        <v/>
      </c>
      <c r="K145" s="143">
        <f>IFERROR(($I145-$J145)/$J145,"")</f>
        <v/>
      </c>
      <c r="L145" s="102">
        <f>IF('Energy Data Input'!$V145="","",'Energy Data Input'!$V145)</f>
        <v/>
      </c>
      <c r="M145" s="102">
        <f>IF($H145="","",IFERROR(VLOOKUP($H145,'Base Settings'!$A$13:$K$19,5,FALSE),0.2))</f>
        <v/>
      </c>
      <c r="N145" s="102">
        <f>IF($B145="","",IF('Energy Data Input'!$L145="","Missing reading",IF($I145=0,"Stalled reading / possibly offline",IF($K145&gt;=IFERROR(VLOOKUP($H145,'Base Settings'!$A$13:$K$19,6,FALSE),0.5),"Severe spike",IF($K145&gt;=$M145,"Usage spike",IF($K145&lt;=-IFERROR(VLOOKUP($H145,'Base Settings'!$A$13:$K$19,7,FALSE),0.3),"Usage drop",IF($L145&gt;IFERROR(VLOOKUP($H145,'Base Settings'!$A$13:$K$19,8,FALSE),999999),"Area intensity overrun","Normal")))))))</f>
        <v/>
      </c>
      <c r="O145" s="102">
        <f>IF($N145="","",IF($N145="Normal","Normal",IF(OR($N145="Severe spike",$K145&gt;=IFERROR(VLOOKUP($H145,'Base Settings'!$A$13:$K$19,6,FALSE),0.5)),"Severe",IF(OR($N145="Usage spike",$N145="Usage drop"),"High","Medium"))))</f>
        <v/>
      </c>
      <c r="P145" s="144">
        <f>IF(OR($N145="",$N145="Normal"),0,ABS($I145-$J145)*'Energy Data Input'!$O145)</f>
        <v/>
      </c>
      <c r="Q145" s="102">
        <f>IF($N145="Normal","",IF($N145="Stalled reading / possibly offline","核查表计通信/Electricity池/网关/阀门Status",IF(AND($H145="Water",$N145&lt;&gt;"Normal"),"检查管网、阀门、卫生间、冷却塔及夜间最小流量",IF(AND($H145="Electricity",$N145&lt;&gt;"Normal"),"检查空调、照明、生产设备、PeakOff-peak时段与待机功耗",IF(AND($H145="Gas",$N145&lt;&gt;"Normal"),"检查燃Gas阀门、锅炉/厨房设备与泄漏风险","核查设备工况、排班、产量与计量数据")))))</f>
        <v/>
      </c>
      <c r="R145" s="102">
        <f>IF($H145="","",IFERROR(VLOOKUP($H145,'Base Settings'!$A$13:$K$19,11,FALSE),"Energy management owner"))</f>
        <v/>
      </c>
      <c r="S145" s="102">
        <f>IF($N145="","",IF($N145="Normal","No action needed","Open"))</f>
        <v/>
      </c>
      <c r="T145" s="141">
        <f>IF(OR($B145="",$N145="Normal"),"",WORKDAY($B145,IF($O145="Severe",1,IF($O145="High",2,3))))</f>
        <v/>
      </c>
      <c r="U145" s="102">
        <f>IF($T145="","",IF(AND($S145&lt;&gt;"Closed",TODAY()&gt;$T145),"Overdue","Not overdue"))</f>
        <v/>
      </c>
      <c r="V145" s="102" t="n"/>
      <c r="W145" s="141" t="n"/>
      <c r="X145" s="102" t="n"/>
    </row>
    <row r="146">
      <c r="A146" s="102">
        <f>IF('Energy Data Input'!$A146="","","AL-"&amp;TEXT(ROW()-5,"0000"))</f>
        <v/>
      </c>
      <c r="B146" s="141">
        <f>IF('Energy Data Input'!$B146="","",'Energy Data Input'!$B146)</f>
        <v/>
      </c>
      <c r="C146" s="102">
        <f>IF('Energy Data Input'!$C146="","",'Energy Data Input'!$C146)</f>
        <v/>
      </c>
      <c r="D146" s="102">
        <f>IF('Energy Data Input'!$D146="","",'Energy Data Input'!$D146)</f>
        <v/>
      </c>
      <c r="E146" s="102">
        <f>IF('Energy Data Input'!$E146="","",'Energy Data Input'!$E146)</f>
        <v/>
      </c>
      <c r="F146" s="102">
        <f>IF('Energy Data Input'!$G146="","",'Energy Data Input'!$G146)</f>
        <v/>
      </c>
      <c r="G146" s="102">
        <f>IF('Energy Data Input'!$H146="","",'Energy Data Input'!$H146)</f>
        <v/>
      </c>
      <c r="H146" s="102">
        <f>IF('Energy Data Input'!$J146="","",'Energy Data Input'!$J146)</f>
        <v/>
      </c>
      <c r="I146" s="142">
        <f>IF('Energy Data Input'!$N146="","",'Energy Data Input'!$N146)</f>
        <v/>
      </c>
      <c r="J146" s="142">
        <f>IF($B146="","",IFERROR(AVERAGEIFS('Energy Data Input'!$N$6:$N$205,'Energy Data Input'!$B$6:$B$205,"&gt;="&amp;$B146-7,'Energy Data Input'!$B$6:$B$205,"&lt;"&amp;$B146,'Energy Data Input'!$H$6:$H$205,$G146,'Energy Data Input'!$J$6:$J$205,$H146),$I146))</f>
        <v/>
      </c>
      <c r="K146" s="143">
        <f>IFERROR(($I146-$J146)/$J146,"")</f>
        <v/>
      </c>
      <c r="L146" s="102">
        <f>IF('Energy Data Input'!$V146="","",'Energy Data Input'!$V146)</f>
        <v/>
      </c>
      <c r="M146" s="102">
        <f>IF($H146="","",IFERROR(VLOOKUP($H146,'Base Settings'!$A$13:$K$19,5,FALSE),0.2))</f>
        <v/>
      </c>
      <c r="N146" s="102">
        <f>IF($B146="","",IF('Energy Data Input'!$L146="","Missing reading",IF($I146=0,"Stalled reading / possibly offline",IF($K146&gt;=IFERROR(VLOOKUP($H146,'Base Settings'!$A$13:$K$19,6,FALSE),0.5),"Severe spike",IF($K146&gt;=$M146,"Usage spike",IF($K146&lt;=-IFERROR(VLOOKUP($H146,'Base Settings'!$A$13:$K$19,7,FALSE),0.3),"Usage drop",IF($L146&gt;IFERROR(VLOOKUP($H146,'Base Settings'!$A$13:$K$19,8,FALSE),999999),"Area intensity overrun","Normal")))))))</f>
        <v/>
      </c>
      <c r="O146" s="102">
        <f>IF($N146="","",IF($N146="Normal","Normal",IF(OR($N146="Severe spike",$K146&gt;=IFERROR(VLOOKUP($H146,'Base Settings'!$A$13:$K$19,6,FALSE),0.5)),"Severe",IF(OR($N146="Usage spike",$N146="Usage drop"),"High","Medium"))))</f>
        <v/>
      </c>
      <c r="P146" s="144">
        <f>IF(OR($N146="",$N146="Normal"),0,ABS($I146-$J146)*'Energy Data Input'!$O146)</f>
        <v/>
      </c>
      <c r="Q146" s="102">
        <f>IF($N146="Normal","",IF($N146="Stalled reading / possibly offline","核查表计通信/Electricity池/网关/阀门Status",IF(AND($H146="Water",$N146&lt;&gt;"Normal"),"检查管网、阀门、卫生间、冷却塔及夜间最小流量",IF(AND($H146="Electricity",$N146&lt;&gt;"Normal"),"检查空调、照明、生产设备、PeakOff-peak时段与待机功耗",IF(AND($H146="Gas",$N146&lt;&gt;"Normal"),"检查燃Gas阀门、锅炉/厨房设备与泄漏风险","核查设备工况、排班、产量与计量数据")))))</f>
        <v/>
      </c>
      <c r="R146" s="102">
        <f>IF($H146="","",IFERROR(VLOOKUP($H146,'Base Settings'!$A$13:$K$19,11,FALSE),"Energy management owner"))</f>
        <v/>
      </c>
      <c r="S146" s="102">
        <f>IF($N146="","",IF($N146="Normal","No action needed","Open"))</f>
        <v/>
      </c>
      <c r="T146" s="141">
        <f>IF(OR($B146="",$N146="Normal"),"",WORKDAY($B146,IF($O146="Severe",1,IF($O146="High",2,3))))</f>
        <v/>
      </c>
      <c r="U146" s="102">
        <f>IF($T146="","",IF(AND($S146&lt;&gt;"Closed",TODAY()&gt;$T146),"Overdue","Not overdue"))</f>
        <v/>
      </c>
      <c r="V146" s="102" t="n"/>
      <c r="W146" s="141" t="n"/>
      <c r="X146" s="102" t="n"/>
    </row>
    <row r="147">
      <c r="A147" s="102">
        <f>IF('Energy Data Input'!$A147="","","AL-"&amp;TEXT(ROW()-5,"0000"))</f>
        <v/>
      </c>
      <c r="B147" s="141">
        <f>IF('Energy Data Input'!$B147="","",'Energy Data Input'!$B147)</f>
        <v/>
      </c>
      <c r="C147" s="102">
        <f>IF('Energy Data Input'!$C147="","",'Energy Data Input'!$C147)</f>
        <v/>
      </c>
      <c r="D147" s="102">
        <f>IF('Energy Data Input'!$D147="","",'Energy Data Input'!$D147)</f>
        <v/>
      </c>
      <c r="E147" s="102">
        <f>IF('Energy Data Input'!$E147="","",'Energy Data Input'!$E147)</f>
        <v/>
      </c>
      <c r="F147" s="102">
        <f>IF('Energy Data Input'!$G147="","",'Energy Data Input'!$G147)</f>
        <v/>
      </c>
      <c r="G147" s="102">
        <f>IF('Energy Data Input'!$H147="","",'Energy Data Input'!$H147)</f>
        <v/>
      </c>
      <c r="H147" s="102">
        <f>IF('Energy Data Input'!$J147="","",'Energy Data Input'!$J147)</f>
        <v/>
      </c>
      <c r="I147" s="142">
        <f>IF('Energy Data Input'!$N147="","",'Energy Data Input'!$N147)</f>
        <v/>
      </c>
      <c r="J147" s="142">
        <f>IF($B147="","",IFERROR(AVERAGEIFS('Energy Data Input'!$N$6:$N$205,'Energy Data Input'!$B$6:$B$205,"&gt;="&amp;$B147-7,'Energy Data Input'!$B$6:$B$205,"&lt;"&amp;$B147,'Energy Data Input'!$H$6:$H$205,$G147,'Energy Data Input'!$J$6:$J$205,$H147),$I147))</f>
        <v/>
      </c>
      <c r="K147" s="143">
        <f>IFERROR(($I147-$J147)/$J147,"")</f>
        <v/>
      </c>
      <c r="L147" s="102">
        <f>IF('Energy Data Input'!$V147="","",'Energy Data Input'!$V147)</f>
        <v/>
      </c>
      <c r="M147" s="102">
        <f>IF($H147="","",IFERROR(VLOOKUP($H147,'Base Settings'!$A$13:$K$19,5,FALSE),0.2))</f>
        <v/>
      </c>
      <c r="N147" s="102">
        <f>IF($B147="","",IF('Energy Data Input'!$L147="","Missing reading",IF($I147=0,"Stalled reading / possibly offline",IF($K147&gt;=IFERROR(VLOOKUP($H147,'Base Settings'!$A$13:$K$19,6,FALSE),0.5),"Severe spike",IF($K147&gt;=$M147,"Usage spike",IF($K147&lt;=-IFERROR(VLOOKUP($H147,'Base Settings'!$A$13:$K$19,7,FALSE),0.3),"Usage drop",IF($L147&gt;IFERROR(VLOOKUP($H147,'Base Settings'!$A$13:$K$19,8,FALSE),999999),"Area intensity overrun","Normal")))))))</f>
        <v/>
      </c>
      <c r="O147" s="102">
        <f>IF($N147="","",IF($N147="Normal","Normal",IF(OR($N147="Severe spike",$K147&gt;=IFERROR(VLOOKUP($H147,'Base Settings'!$A$13:$K$19,6,FALSE),0.5)),"Severe",IF(OR($N147="Usage spike",$N147="Usage drop"),"High","Medium"))))</f>
        <v/>
      </c>
      <c r="P147" s="144">
        <f>IF(OR($N147="",$N147="Normal"),0,ABS($I147-$J147)*'Energy Data Input'!$O147)</f>
        <v/>
      </c>
      <c r="Q147" s="102">
        <f>IF($N147="Normal","",IF($N147="Stalled reading / possibly offline","核查表计通信/Electricity池/网关/阀门Status",IF(AND($H147="Water",$N147&lt;&gt;"Normal"),"检查管网、阀门、卫生间、冷却塔及夜间最小流量",IF(AND($H147="Electricity",$N147&lt;&gt;"Normal"),"检查空调、照明、生产设备、PeakOff-peak时段与待机功耗",IF(AND($H147="Gas",$N147&lt;&gt;"Normal"),"检查燃Gas阀门、锅炉/厨房设备与泄漏风险","核查设备工况、排班、产量与计量数据")))))</f>
        <v/>
      </c>
      <c r="R147" s="102">
        <f>IF($H147="","",IFERROR(VLOOKUP($H147,'Base Settings'!$A$13:$K$19,11,FALSE),"Energy management owner"))</f>
        <v/>
      </c>
      <c r="S147" s="102">
        <f>IF($N147="","",IF($N147="Normal","No action needed","Open"))</f>
        <v/>
      </c>
      <c r="T147" s="141">
        <f>IF(OR($B147="",$N147="Normal"),"",WORKDAY($B147,IF($O147="Severe",1,IF($O147="High",2,3))))</f>
        <v/>
      </c>
      <c r="U147" s="102">
        <f>IF($T147="","",IF(AND($S147&lt;&gt;"Closed",TODAY()&gt;$T147),"Overdue","Not overdue"))</f>
        <v/>
      </c>
      <c r="V147" s="102" t="n"/>
      <c r="W147" s="141" t="n"/>
      <c r="X147" s="102" t="n"/>
    </row>
    <row r="148">
      <c r="A148" s="102">
        <f>IF('Energy Data Input'!$A148="","","AL-"&amp;TEXT(ROW()-5,"0000"))</f>
        <v/>
      </c>
      <c r="B148" s="141">
        <f>IF('Energy Data Input'!$B148="","",'Energy Data Input'!$B148)</f>
        <v/>
      </c>
      <c r="C148" s="102">
        <f>IF('Energy Data Input'!$C148="","",'Energy Data Input'!$C148)</f>
        <v/>
      </c>
      <c r="D148" s="102">
        <f>IF('Energy Data Input'!$D148="","",'Energy Data Input'!$D148)</f>
        <v/>
      </c>
      <c r="E148" s="102">
        <f>IF('Energy Data Input'!$E148="","",'Energy Data Input'!$E148)</f>
        <v/>
      </c>
      <c r="F148" s="102">
        <f>IF('Energy Data Input'!$G148="","",'Energy Data Input'!$G148)</f>
        <v/>
      </c>
      <c r="G148" s="102">
        <f>IF('Energy Data Input'!$H148="","",'Energy Data Input'!$H148)</f>
        <v/>
      </c>
      <c r="H148" s="102">
        <f>IF('Energy Data Input'!$J148="","",'Energy Data Input'!$J148)</f>
        <v/>
      </c>
      <c r="I148" s="142">
        <f>IF('Energy Data Input'!$N148="","",'Energy Data Input'!$N148)</f>
        <v/>
      </c>
      <c r="J148" s="142">
        <f>IF($B148="","",IFERROR(AVERAGEIFS('Energy Data Input'!$N$6:$N$205,'Energy Data Input'!$B$6:$B$205,"&gt;="&amp;$B148-7,'Energy Data Input'!$B$6:$B$205,"&lt;"&amp;$B148,'Energy Data Input'!$H$6:$H$205,$G148,'Energy Data Input'!$J$6:$J$205,$H148),$I148))</f>
        <v/>
      </c>
      <c r="K148" s="143">
        <f>IFERROR(($I148-$J148)/$J148,"")</f>
        <v/>
      </c>
      <c r="L148" s="102">
        <f>IF('Energy Data Input'!$V148="","",'Energy Data Input'!$V148)</f>
        <v/>
      </c>
      <c r="M148" s="102">
        <f>IF($H148="","",IFERROR(VLOOKUP($H148,'Base Settings'!$A$13:$K$19,5,FALSE),0.2))</f>
        <v/>
      </c>
      <c r="N148" s="102">
        <f>IF($B148="","",IF('Energy Data Input'!$L148="","Missing reading",IF($I148=0,"Stalled reading / possibly offline",IF($K148&gt;=IFERROR(VLOOKUP($H148,'Base Settings'!$A$13:$K$19,6,FALSE),0.5),"Severe spike",IF($K148&gt;=$M148,"Usage spike",IF($K148&lt;=-IFERROR(VLOOKUP($H148,'Base Settings'!$A$13:$K$19,7,FALSE),0.3),"Usage drop",IF($L148&gt;IFERROR(VLOOKUP($H148,'Base Settings'!$A$13:$K$19,8,FALSE),999999),"Area intensity overrun","Normal")))))))</f>
        <v/>
      </c>
      <c r="O148" s="102">
        <f>IF($N148="","",IF($N148="Normal","Normal",IF(OR($N148="Severe spike",$K148&gt;=IFERROR(VLOOKUP($H148,'Base Settings'!$A$13:$K$19,6,FALSE),0.5)),"Severe",IF(OR($N148="Usage spike",$N148="Usage drop"),"High","Medium"))))</f>
        <v/>
      </c>
      <c r="P148" s="144">
        <f>IF(OR($N148="",$N148="Normal"),0,ABS($I148-$J148)*'Energy Data Input'!$O148)</f>
        <v/>
      </c>
      <c r="Q148" s="102">
        <f>IF($N148="Normal","",IF($N148="Stalled reading / possibly offline","核查表计通信/Electricity池/网关/阀门Status",IF(AND($H148="Water",$N148&lt;&gt;"Normal"),"检查管网、阀门、卫生间、冷却塔及夜间最小流量",IF(AND($H148="Electricity",$N148&lt;&gt;"Normal"),"检查空调、照明、生产设备、PeakOff-peak时段与待机功耗",IF(AND($H148="Gas",$N148&lt;&gt;"Normal"),"检查燃Gas阀门、锅炉/厨房设备与泄漏风险","核查设备工况、排班、产量与计量数据")))))</f>
        <v/>
      </c>
      <c r="R148" s="102">
        <f>IF($H148="","",IFERROR(VLOOKUP($H148,'Base Settings'!$A$13:$K$19,11,FALSE),"Energy management owner"))</f>
        <v/>
      </c>
      <c r="S148" s="102">
        <f>IF($N148="","",IF($N148="Normal","No action needed","Open"))</f>
        <v/>
      </c>
      <c r="T148" s="141">
        <f>IF(OR($B148="",$N148="Normal"),"",WORKDAY($B148,IF($O148="Severe",1,IF($O148="High",2,3))))</f>
        <v/>
      </c>
      <c r="U148" s="102">
        <f>IF($T148="","",IF(AND($S148&lt;&gt;"Closed",TODAY()&gt;$T148),"Overdue","Not overdue"))</f>
        <v/>
      </c>
      <c r="V148" s="102" t="n"/>
      <c r="W148" s="141" t="n"/>
      <c r="X148" s="102" t="n"/>
    </row>
    <row r="149">
      <c r="A149" s="102">
        <f>IF('Energy Data Input'!$A149="","","AL-"&amp;TEXT(ROW()-5,"0000"))</f>
        <v/>
      </c>
      <c r="B149" s="141">
        <f>IF('Energy Data Input'!$B149="","",'Energy Data Input'!$B149)</f>
        <v/>
      </c>
      <c r="C149" s="102">
        <f>IF('Energy Data Input'!$C149="","",'Energy Data Input'!$C149)</f>
        <v/>
      </c>
      <c r="D149" s="102">
        <f>IF('Energy Data Input'!$D149="","",'Energy Data Input'!$D149)</f>
        <v/>
      </c>
      <c r="E149" s="102">
        <f>IF('Energy Data Input'!$E149="","",'Energy Data Input'!$E149)</f>
        <v/>
      </c>
      <c r="F149" s="102">
        <f>IF('Energy Data Input'!$G149="","",'Energy Data Input'!$G149)</f>
        <v/>
      </c>
      <c r="G149" s="102">
        <f>IF('Energy Data Input'!$H149="","",'Energy Data Input'!$H149)</f>
        <v/>
      </c>
      <c r="H149" s="102">
        <f>IF('Energy Data Input'!$J149="","",'Energy Data Input'!$J149)</f>
        <v/>
      </c>
      <c r="I149" s="142">
        <f>IF('Energy Data Input'!$N149="","",'Energy Data Input'!$N149)</f>
        <v/>
      </c>
      <c r="J149" s="142">
        <f>IF($B149="","",IFERROR(AVERAGEIFS('Energy Data Input'!$N$6:$N$205,'Energy Data Input'!$B$6:$B$205,"&gt;="&amp;$B149-7,'Energy Data Input'!$B$6:$B$205,"&lt;"&amp;$B149,'Energy Data Input'!$H$6:$H$205,$G149,'Energy Data Input'!$J$6:$J$205,$H149),$I149))</f>
        <v/>
      </c>
      <c r="K149" s="143">
        <f>IFERROR(($I149-$J149)/$J149,"")</f>
        <v/>
      </c>
      <c r="L149" s="102">
        <f>IF('Energy Data Input'!$V149="","",'Energy Data Input'!$V149)</f>
        <v/>
      </c>
      <c r="M149" s="102">
        <f>IF($H149="","",IFERROR(VLOOKUP($H149,'Base Settings'!$A$13:$K$19,5,FALSE),0.2))</f>
        <v/>
      </c>
      <c r="N149" s="102">
        <f>IF($B149="","",IF('Energy Data Input'!$L149="","Missing reading",IF($I149=0,"Stalled reading / possibly offline",IF($K149&gt;=IFERROR(VLOOKUP($H149,'Base Settings'!$A$13:$K$19,6,FALSE),0.5),"Severe spike",IF($K149&gt;=$M149,"Usage spike",IF($K149&lt;=-IFERROR(VLOOKUP($H149,'Base Settings'!$A$13:$K$19,7,FALSE),0.3),"Usage drop",IF($L149&gt;IFERROR(VLOOKUP($H149,'Base Settings'!$A$13:$K$19,8,FALSE),999999),"Area intensity overrun","Normal")))))))</f>
        <v/>
      </c>
      <c r="O149" s="102">
        <f>IF($N149="","",IF($N149="Normal","Normal",IF(OR($N149="Severe spike",$K149&gt;=IFERROR(VLOOKUP($H149,'Base Settings'!$A$13:$K$19,6,FALSE),0.5)),"Severe",IF(OR($N149="Usage spike",$N149="Usage drop"),"High","Medium"))))</f>
        <v/>
      </c>
      <c r="P149" s="144">
        <f>IF(OR($N149="",$N149="Normal"),0,ABS($I149-$J149)*'Energy Data Input'!$O149)</f>
        <v/>
      </c>
      <c r="Q149" s="102">
        <f>IF($N149="Normal","",IF($N149="Stalled reading / possibly offline","核查表计通信/Electricity池/网关/阀门Status",IF(AND($H149="Water",$N149&lt;&gt;"Normal"),"检查管网、阀门、卫生间、冷却塔及夜间最小流量",IF(AND($H149="Electricity",$N149&lt;&gt;"Normal"),"检查空调、照明、生产设备、PeakOff-peak时段与待机功耗",IF(AND($H149="Gas",$N149&lt;&gt;"Normal"),"检查燃Gas阀门、锅炉/厨房设备与泄漏风险","核查设备工况、排班、产量与计量数据")))))</f>
        <v/>
      </c>
      <c r="R149" s="102">
        <f>IF($H149="","",IFERROR(VLOOKUP($H149,'Base Settings'!$A$13:$K$19,11,FALSE),"Energy management owner"))</f>
        <v/>
      </c>
      <c r="S149" s="102">
        <f>IF($N149="","",IF($N149="Normal","No action needed","Open"))</f>
        <v/>
      </c>
      <c r="T149" s="141">
        <f>IF(OR($B149="",$N149="Normal"),"",WORKDAY($B149,IF($O149="Severe",1,IF($O149="High",2,3))))</f>
        <v/>
      </c>
      <c r="U149" s="102">
        <f>IF($T149="","",IF(AND($S149&lt;&gt;"Closed",TODAY()&gt;$T149),"Overdue","Not overdue"))</f>
        <v/>
      </c>
      <c r="V149" s="102" t="n"/>
      <c r="W149" s="141" t="n"/>
      <c r="X149" s="102" t="n"/>
    </row>
    <row r="150">
      <c r="A150" s="102">
        <f>IF('Energy Data Input'!$A150="","","AL-"&amp;TEXT(ROW()-5,"0000"))</f>
        <v/>
      </c>
      <c r="B150" s="141">
        <f>IF('Energy Data Input'!$B150="","",'Energy Data Input'!$B150)</f>
        <v/>
      </c>
      <c r="C150" s="102">
        <f>IF('Energy Data Input'!$C150="","",'Energy Data Input'!$C150)</f>
        <v/>
      </c>
      <c r="D150" s="102">
        <f>IF('Energy Data Input'!$D150="","",'Energy Data Input'!$D150)</f>
        <v/>
      </c>
      <c r="E150" s="102">
        <f>IF('Energy Data Input'!$E150="","",'Energy Data Input'!$E150)</f>
        <v/>
      </c>
      <c r="F150" s="102">
        <f>IF('Energy Data Input'!$G150="","",'Energy Data Input'!$G150)</f>
        <v/>
      </c>
      <c r="G150" s="102">
        <f>IF('Energy Data Input'!$H150="","",'Energy Data Input'!$H150)</f>
        <v/>
      </c>
      <c r="H150" s="102">
        <f>IF('Energy Data Input'!$J150="","",'Energy Data Input'!$J150)</f>
        <v/>
      </c>
      <c r="I150" s="142">
        <f>IF('Energy Data Input'!$N150="","",'Energy Data Input'!$N150)</f>
        <v/>
      </c>
      <c r="J150" s="142">
        <f>IF($B150="","",IFERROR(AVERAGEIFS('Energy Data Input'!$N$6:$N$205,'Energy Data Input'!$B$6:$B$205,"&gt;="&amp;$B150-7,'Energy Data Input'!$B$6:$B$205,"&lt;"&amp;$B150,'Energy Data Input'!$H$6:$H$205,$G150,'Energy Data Input'!$J$6:$J$205,$H150),$I150))</f>
        <v/>
      </c>
      <c r="K150" s="143">
        <f>IFERROR(($I150-$J150)/$J150,"")</f>
        <v/>
      </c>
      <c r="L150" s="102">
        <f>IF('Energy Data Input'!$V150="","",'Energy Data Input'!$V150)</f>
        <v/>
      </c>
      <c r="M150" s="102">
        <f>IF($H150="","",IFERROR(VLOOKUP($H150,'Base Settings'!$A$13:$K$19,5,FALSE),0.2))</f>
        <v/>
      </c>
      <c r="N150" s="102">
        <f>IF($B150="","",IF('Energy Data Input'!$L150="","Missing reading",IF($I150=0,"Stalled reading / possibly offline",IF($K150&gt;=IFERROR(VLOOKUP($H150,'Base Settings'!$A$13:$K$19,6,FALSE),0.5),"Severe spike",IF($K150&gt;=$M150,"Usage spike",IF($K150&lt;=-IFERROR(VLOOKUP($H150,'Base Settings'!$A$13:$K$19,7,FALSE),0.3),"Usage drop",IF($L150&gt;IFERROR(VLOOKUP($H150,'Base Settings'!$A$13:$K$19,8,FALSE),999999),"Area intensity overrun","Normal")))))))</f>
        <v/>
      </c>
      <c r="O150" s="102">
        <f>IF($N150="","",IF($N150="Normal","Normal",IF(OR($N150="Severe spike",$K150&gt;=IFERROR(VLOOKUP($H150,'Base Settings'!$A$13:$K$19,6,FALSE),0.5)),"Severe",IF(OR($N150="Usage spike",$N150="Usage drop"),"High","Medium"))))</f>
        <v/>
      </c>
      <c r="P150" s="144">
        <f>IF(OR($N150="",$N150="Normal"),0,ABS($I150-$J150)*'Energy Data Input'!$O150)</f>
        <v/>
      </c>
      <c r="Q150" s="102">
        <f>IF($N150="Normal","",IF($N150="Stalled reading / possibly offline","核查表计通信/Electricity池/网关/阀门Status",IF(AND($H150="Water",$N150&lt;&gt;"Normal"),"检查管网、阀门、卫生间、冷却塔及夜间最小流量",IF(AND($H150="Electricity",$N150&lt;&gt;"Normal"),"检查空调、照明、生产设备、PeakOff-peak时段与待机功耗",IF(AND($H150="Gas",$N150&lt;&gt;"Normal"),"检查燃Gas阀门、锅炉/厨房设备与泄漏风险","核查设备工况、排班、产量与计量数据")))))</f>
        <v/>
      </c>
      <c r="R150" s="102">
        <f>IF($H150="","",IFERROR(VLOOKUP($H150,'Base Settings'!$A$13:$K$19,11,FALSE),"Energy management owner"))</f>
        <v/>
      </c>
      <c r="S150" s="102">
        <f>IF($N150="","",IF($N150="Normal","No action needed","Open"))</f>
        <v/>
      </c>
      <c r="T150" s="141">
        <f>IF(OR($B150="",$N150="Normal"),"",WORKDAY($B150,IF($O150="Severe",1,IF($O150="High",2,3))))</f>
        <v/>
      </c>
      <c r="U150" s="102">
        <f>IF($T150="","",IF(AND($S150&lt;&gt;"Closed",TODAY()&gt;$T150),"Overdue","Not overdue"))</f>
        <v/>
      </c>
      <c r="V150" s="102" t="n"/>
      <c r="W150" s="141" t="n"/>
      <c r="X150" s="102" t="n"/>
    </row>
    <row r="151">
      <c r="A151" s="102">
        <f>IF('Energy Data Input'!$A151="","","AL-"&amp;TEXT(ROW()-5,"0000"))</f>
        <v/>
      </c>
      <c r="B151" s="141">
        <f>IF('Energy Data Input'!$B151="","",'Energy Data Input'!$B151)</f>
        <v/>
      </c>
      <c r="C151" s="102">
        <f>IF('Energy Data Input'!$C151="","",'Energy Data Input'!$C151)</f>
        <v/>
      </c>
      <c r="D151" s="102">
        <f>IF('Energy Data Input'!$D151="","",'Energy Data Input'!$D151)</f>
        <v/>
      </c>
      <c r="E151" s="102">
        <f>IF('Energy Data Input'!$E151="","",'Energy Data Input'!$E151)</f>
        <v/>
      </c>
      <c r="F151" s="102">
        <f>IF('Energy Data Input'!$G151="","",'Energy Data Input'!$G151)</f>
        <v/>
      </c>
      <c r="G151" s="102">
        <f>IF('Energy Data Input'!$H151="","",'Energy Data Input'!$H151)</f>
        <v/>
      </c>
      <c r="H151" s="102">
        <f>IF('Energy Data Input'!$J151="","",'Energy Data Input'!$J151)</f>
        <v/>
      </c>
      <c r="I151" s="142">
        <f>IF('Energy Data Input'!$N151="","",'Energy Data Input'!$N151)</f>
        <v/>
      </c>
      <c r="J151" s="142">
        <f>IF($B151="","",IFERROR(AVERAGEIFS('Energy Data Input'!$N$6:$N$205,'Energy Data Input'!$B$6:$B$205,"&gt;="&amp;$B151-7,'Energy Data Input'!$B$6:$B$205,"&lt;"&amp;$B151,'Energy Data Input'!$H$6:$H$205,$G151,'Energy Data Input'!$J$6:$J$205,$H151),$I151))</f>
        <v/>
      </c>
      <c r="K151" s="143">
        <f>IFERROR(($I151-$J151)/$J151,"")</f>
        <v/>
      </c>
      <c r="L151" s="102">
        <f>IF('Energy Data Input'!$V151="","",'Energy Data Input'!$V151)</f>
        <v/>
      </c>
      <c r="M151" s="102">
        <f>IF($H151="","",IFERROR(VLOOKUP($H151,'Base Settings'!$A$13:$K$19,5,FALSE),0.2))</f>
        <v/>
      </c>
      <c r="N151" s="102">
        <f>IF($B151="","",IF('Energy Data Input'!$L151="","Missing reading",IF($I151=0,"Stalled reading / possibly offline",IF($K151&gt;=IFERROR(VLOOKUP($H151,'Base Settings'!$A$13:$K$19,6,FALSE),0.5),"Severe spike",IF($K151&gt;=$M151,"Usage spike",IF($K151&lt;=-IFERROR(VLOOKUP($H151,'Base Settings'!$A$13:$K$19,7,FALSE),0.3),"Usage drop",IF($L151&gt;IFERROR(VLOOKUP($H151,'Base Settings'!$A$13:$K$19,8,FALSE),999999),"Area intensity overrun","Normal")))))))</f>
        <v/>
      </c>
      <c r="O151" s="102">
        <f>IF($N151="","",IF($N151="Normal","Normal",IF(OR($N151="Severe spike",$K151&gt;=IFERROR(VLOOKUP($H151,'Base Settings'!$A$13:$K$19,6,FALSE),0.5)),"Severe",IF(OR($N151="Usage spike",$N151="Usage drop"),"High","Medium"))))</f>
        <v/>
      </c>
      <c r="P151" s="144">
        <f>IF(OR($N151="",$N151="Normal"),0,ABS($I151-$J151)*'Energy Data Input'!$O151)</f>
        <v/>
      </c>
      <c r="Q151" s="102">
        <f>IF($N151="Normal","",IF($N151="Stalled reading / possibly offline","核查表计通信/Electricity池/网关/阀门Status",IF(AND($H151="Water",$N151&lt;&gt;"Normal"),"检查管网、阀门、卫生间、冷却塔及夜间最小流量",IF(AND($H151="Electricity",$N151&lt;&gt;"Normal"),"检查空调、照明、生产设备、PeakOff-peak时段与待机功耗",IF(AND($H151="Gas",$N151&lt;&gt;"Normal"),"检查燃Gas阀门、锅炉/厨房设备与泄漏风险","核查设备工况、排班、产量与计量数据")))))</f>
        <v/>
      </c>
      <c r="R151" s="102">
        <f>IF($H151="","",IFERROR(VLOOKUP($H151,'Base Settings'!$A$13:$K$19,11,FALSE),"Energy management owner"))</f>
        <v/>
      </c>
      <c r="S151" s="102">
        <f>IF($N151="","",IF($N151="Normal","No action needed","Open"))</f>
        <v/>
      </c>
      <c r="T151" s="141">
        <f>IF(OR($B151="",$N151="Normal"),"",WORKDAY($B151,IF($O151="Severe",1,IF($O151="High",2,3))))</f>
        <v/>
      </c>
      <c r="U151" s="102">
        <f>IF($T151="","",IF(AND($S151&lt;&gt;"Closed",TODAY()&gt;$T151),"Overdue","Not overdue"))</f>
        <v/>
      </c>
      <c r="V151" s="102" t="n"/>
      <c r="W151" s="141" t="n"/>
      <c r="X151" s="102" t="n"/>
    </row>
    <row r="152">
      <c r="A152" s="102">
        <f>IF('Energy Data Input'!$A152="","","AL-"&amp;TEXT(ROW()-5,"0000"))</f>
        <v/>
      </c>
      <c r="B152" s="141">
        <f>IF('Energy Data Input'!$B152="","",'Energy Data Input'!$B152)</f>
        <v/>
      </c>
      <c r="C152" s="102">
        <f>IF('Energy Data Input'!$C152="","",'Energy Data Input'!$C152)</f>
        <v/>
      </c>
      <c r="D152" s="102">
        <f>IF('Energy Data Input'!$D152="","",'Energy Data Input'!$D152)</f>
        <v/>
      </c>
      <c r="E152" s="102">
        <f>IF('Energy Data Input'!$E152="","",'Energy Data Input'!$E152)</f>
        <v/>
      </c>
      <c r="F152" s="102">
        <f>IF('Energy Data Input'!$G152="","",'Energy Data Input'!$G152)</f>
        <v/>
      </c>
      <c r="G152" s="102">
        <f>IF('Energy Data Input'!$H152="","",'Energy Data Input'!$H152)</f>
        <v/>
      </c>
      <c r="H152" s="102">
        <f>IF('Energy Data Input'!$J152="","",'Energy Data Input'!$J152)</f>
        <v/>
      </c>
      <c r="I152" s="142">
        <f>IF('Energy Data Input'!$N152="","",'Energy Data Input'!$N152)</f>
        <v/>
      </c>
      <c r="J152" s="142">
        <f>IF($B152="","",IFERROR(AVERAGEIFS('Energy Data Input'!$N$6:$N$205,'Energy Data Input'!$B$6:$B$205,"&gt;="&amp;$B152-7,'Energy Data Input'!$B$6:$B$205,"&lt;"&amp;$B152,'Energy Data Input'!$H$6:$H$205,$G152,'Energy Data Input'!$J$6:$J$205,$H152),$I152))</f>
        <v/>
      </c>
      <c r="K152" s="143">
        <f>IFERROR(($I152-$J152)/$J152,"")</f>
        <v/>
      </c>
      <c r="L152" s="102">
        <f>IF('Energy Data Input'!$V152="","",'Energy Data Input'!$V152)</f>
        <v/>
      </c>
      <c r="M152" s="102">
        <f>IF($H152="","",IFERROR(VLOOKUP($H152,'Base Settings'!$A$13:$K$19,5,FALSE),0.2))</f>
        <v/>
      </c>
      <c r="N152" s="102">
        <f>IF($B152="","",IF('Energy Data Input'!$L152="","Missing reading",IF($I152=0,"Stalled reading / possibly offline",IF($K152&gt;=IFERROR(VLOOKUP($H152,'Base Settings'!$A$13:$K$19,6,FALSE),0.5),"Severe spike",IF($K152&gt;=$M152,"Usage spike",IF($K152&lt;=-IFERROR(VLOOKUP($H152,'Base Settings'!$A$13:$K$19,7,FALSE),0.3),"Usage drop",IF($L152&gt;IFERROR(VLOOKUP($H152,'Base Settings'!$A$13:$K$19,8,FALSE),999999),"Area intensity overrun","Normal")))))))</f>
        <v/>
      </c>
      <c r="O152" s="102">
        <f>IF($N152="","",IF($N152="Normal","Normal",IF(OR($N152="Severe spike",$K152&gt;=IFERROR(VLOOKUP($H152,'Base Settings'!$A$13:$K$19,6,FALSE),0.5)),"Severe",IF(OR($N152="Usage spike",$N152="Usage drop"),"High","Medium"))))</f>
        <v/>
      </c>
      <c r="P152" s="144">
        <f>IF(OR($N152="",$N152="Normal"),0,ABS($I152-$J152)*'Energy Data Input'!$O152)</f>
        <v/>
      </c>
      <c r="Q152" s="102">
        <f>IF($N152="Normal","",IF($N152="Stalled reading / possibly offline","核查表计通信/Electricity池/网关/阀门Status",IF(AND($H152="Water",$N152&lt;&gt;"Normal"),"检查管网、阀门、卫生间、冷却塔及夜间最小流量",IF(AND($H152="Electricity",$N152&lt;&gt;"Normal"),"检查空调、照明、生产设备、PeakOff-peak时段与待机功耗",IF(AND($H152="Gas",$N152&lt;&gt;"Normal"),"检查燃Gas阀门、锅炉/厨房设备与泄漏风险","核查设备工况、排班、产量与计量数据")))))</f>
        <v/>
      </c>
      <c r="R152" s="102">
        <f>IF($H152="","",IFERROR(VLOOKUP($H152,'Base Settings'!$A$13:$K$19,11,FALSE),"Energy management owner"))</f>
        <v/>
      </c>
      <c r="S152" s="102">
        <f>IF($N152="","",IF($N152="Normal","No action needed","Open"))</f>
        <v/>
      </c>
      <c r="T152" s="141">
        <f>IF(OR($B152="",$N152="Normal"),"",WORKDAY($B152,IF($O152="Severe",1,IF($O152="High",2,3))))</f>
        <v/>
      </c>
      <c r="U152" s="102">
        <f>IF($T152="","",IF(AND($S152&lt;&gt;"Closed",TODAY()&gt;$T152),"Overdue","Not overdue"))</f>
        <v/>
      </c>
      <c r="V152" s="102" t="n"/>
      <c r="W152" s="141" t="n"/>
      <c r="X152" s="102" t="n"/>
    </row>
    <row r="153">
      <c r="A153" s="102">
        <f>IF('Energy Data Input'!$A153="","","AL-"&amp;TEXT(ROW()-5,"0000"))</f>
        <v/>
      </c>
      <c r="B153" s="141">
        <f>IF('Energy Data Input'!$B153="","",'Energy Data Input'!$B153)</f>
        <v/>
      </c>
      <c r="C153" s="102">
        <f>IF('Energy Data Input'!$C153="","",'Energy Data Input'!$C153)</f>
        <v/>
      </c>
      <c r="D153" s="102">
        <f>IF('Energy Data Input'!$D153="","",'Energy Data Input'!$D153)</f>
        <v/>
      </c>
      <c r="E153" s="102">
        <f>IF('Energy Data Input'!$E153="","",'Energy Data Input'!$E153)</f>
        <v/>
      </c>
      <c r="F153" s="102">
        <f>IF('Energy Data Input'!$G153="","",'Energy Data Input'!$G153)</f>
        <v/>
      </c>
      <c r="G153" s="102">
        <f>IF('Energy Data Input'!$H153="","",'Energy Data Input'!$H153)</f>
        <v/>
      </c>
      <c r="H153" s="102">
        <f>IF('Energy Data Input'!$J153="","",'Energy Data Input'!$J153)</f>
        <v/>
      </c>
      <c r="I153" s="142">
        <f>IF('Energy Data Input'!$N153="","",'Energy Data Input'!$N153)</f>
        <v/>
      </c>
      <c r="J153" s="142">
        <f>IF($B153="","",IFERROR(AVERAGEIFS('Energy Data Input'!$N$6:$N$205,'Energy Data Input'!$B$6:$B$205,"&gt;="&amp;$B153-7,'Energy Data Input'!$B$6:$B$205,"&lt;"&amp;$B153,'Energy Data Input'!$H$6:$H$205,$G153,'Energy Data Input'!$J$6:$J$205,$H153),$I153))</f>
        <v/>
      </c>
      <c r="K153" s="143">
        <f>IFERROR(($I153-$J153)/$J153,"")</f>
        <v/>
      </c>
      <c r="L153" s="102">
        <f>IF('Energy Data Input'!$V153="","",'Energy Data Input'!$V153)</f>
        <v/>
      </c>
      <c r="M153" s="102">
        <f>IF($H153="","",IFERROR(VLOOKUP($H153,'Base Settings'!$A$13:$K$19,5,FALSE),0.2))</f>
        <v/>
      </c>
      <c r="N153" s="102">
        <f>IF($B153="","",IF('Energy Data Input'!$L153="","Missing reading",IF($I153=0,"Stalled reading / possibly offline",IF($K153&gt;=IFERROR(VLOOKUP($H153,'Base Settings'!$A$13:$K$19,6,FALSE),0.5),"Severe spike",IF($K153&gt;=$M153,"Usage spike",IF($K153&lt;=-IFERROR(VLOOKUP($H153,'Base Settings'!$A$13:$K$19,7,FALSE),0.3),"Usage drop",IF($L153&gt;IFERROR(VLOOKUP($H153,'Base Settings'!$A$13:$K$19,8,FALSE),999999),"Area intensity overrun","Normal")))))))</f>
        <v/>
      </c>
      <c r="O153" s="102">
        <f>IF($N153="","",IF($N153="Normal","Normal",IF(OR($N153="Severe spike",$K153&gt;=IFERROR(VLOOKUP($H153,'Base Settings'!$A$13:$K$19,6,FALSE),0.5)),"Severe",IF(OR($N153="Usage spike",$N153="Usage drop"),"High","Medium"))))</f>
        <v/>
      </c>
      <c r="P153" s="144">
        <f>IF(OR($N153="",$N153="Normal"),0,ABS($I153-$J153)*'Energy Data Input'!$O153)</f>
        <v/>
      </c>
      <c r="Q153" s="102">
        <f>IF($N153="Normal","",IF($N153="Stalled reading / possibly offline","核查表计通信/Electricity池/网关/阀门Status",IF(AND($H153="Water",$N153&lt;&gt;"Normal"),"检查管网、阀门、卫生间、冷却塔及夜间最小流量",IF(AND($H153="Electricity",$N153&lt;&gt;"Normal"),"检查空调、照明、生产设备、PeakOff-peak时段与待机功耗",IF(AND($H153="Gas",$N153&lt;&gt;"Normal"),"检查燃Gas阀门、锅炉/厨房设备与泄漏风险","核查设备工况、排班、产量与计量数据")))))</f>
        <v/>
      </c>
      <c r="R153" s="102">
        <f>IF($H153="","",IFERROR(VLOOKUP($H153,'Base Settings'!$A$13:$K$19,11,FALSE),"Energy management owner"))</f>
        <v/>
      </c>
      <c r="S153" s="102">
        <f>IF($N153="","",IF($N153="Normal","No action needed","Open"))</f>
        <v/>
      </c>
      <c r="T153" s="141">
        <f>IF(OR($B153="",$N153="Normal"),"",WORKDAY($B153,IF($O153="Severe",1,IF($O153="High",2,3))))</f>
        <v/>
      </c>
      <c r="U153" s="102">
        <f>IF($T153="","",IF(AND($S153&lt;&gt;"Closed",TODAY()&gt;$T153),"Overdue","Not overdue"))</f>
        <v/>
      </c>
      <c r="V153" s="102" t="n"/>
      <c r="W153" s="141" t="n"/>
      <c r="X153" s="102" t="n"/>
    </row>
    <row r="154">
      <c r="A154" s="102">
        <f>IF('Energy Data Input'!$A154="","","AL-"&amp;TEXT(ROW()-5,"0000"))</f>
        <v/>
      </c>
      <c r="B154" s="141">
        <f>IF('Energy Data Input'!$B154="","",'Energy Data Input'!$B154)</f>
        <v/>
      </c>
      <c r="C154" s="102">
        <f>IF('Energy Data Input'!$C154="","",'Energy Data Input'!$C154)</f>
        <v/>
      </c>
      <c r="D154" s="102">
        <f>IF('Energy Data Input'!$D154="","",'Energy Data Input'!$D154)</f>
        <v/>
      </c>
      <c r="E154" s="102">
        <f>IF('Energy Data Input'!$E154="","",'Energy Data Input'!$E154)</f>
        <v/>
      </c>
      <c r="F154" s="102">
        <f>IF('Energy Data Input'!$G154="","",'Energy Data Input'!$G154)</f>
        <v/>
      </c>
      <c r="G154" s="102">
        <f>IF('Energy Data Input'!$H154="","",'Energy Data Input'!$H154)</f>
        <v/>
      </c>
      <c r="H154" s="102">
        <f>IF('Energy Data Input'!$J154="","",'Energy Data Input'!$J154)</f>
        <v/>
      </c>
      <c r="I154" s="142">
        <f>IF('Energy Data Input'!$N154="","",'Energy Data Input'!$N154)</f>
        <v/>
      </c>
      <c r="J154" s="142">
        <f>IF($B154="","",IFERROR(AVERAGEIFS('Energy Data Input'!$N$6:$N$205,'Energy Data Input'!$B$6:$B$205,"&gt;="&amp;$B154-7,'Energy Data Input'!$B$6:$B$205,"&lt;"&amp;$B154,'Energy Data Input'!$H$6:$H$205,$G154,'Energy Data Input'!$J$6:$J$205,$H154),$I154))</f>
        <v/>
      </c>
      <c r="K154" s="143">
        <f>IFERROR(($I154-$J154)/$J154,"")</f>
        <v/>
      </c>
      <c r="L154" s="102">
        <f>IF('Energy Data Input'!$V154="","",'Energy Data Input'!$V154)</f>
        <v/>
      </c>
      <c r="M154" s="102">
        <f>IF($H154="","",IFERROR(VLOOKUP($H154,'Base Settings'!$A$13:$K$19,5,FALSE),0.2))</f>
        <v/>
      </c>
      <c r="N154" s="102">
        <f>IF($B154="","",IF('Energy Data Input'!$L154="","Missing reading",IF($I154=0,"Stalled reading / possibly offline",IF($K154&gt;=IFERROR(VLOOKUP($H154,'Base Settings'!$A$13:$K$19,6,FALSE),0.5),"Severe spike",IF($K154&gt;=$M154,"Usage spike",IF($K154&lt;=-IFERROR(VLOOKUP($H154,'Base Settings'!$A$13:$K$19,7,FALSE),0.3),"Usage drop",IF($L154&gt;IFERROR(VLOOKUP($H154,'Base Settings'!$A$13:$K$19,8,FALSE),999999),"Area intensity overrun","Normal")))))))</f>
        <v/>
      </c>
      <c r="O154" s="102">
        <f>IF($N154="","",IF($N154="Normal","Normal",IF(OR($N154="Severe spike",$K154&gt;=IFERROR(VLOOKUP($H154,'Base Settings'!$A$13:$K$19,6,FALSE),0.5)),"Severe",IF(OR($N154="Usage spike",$N154="Usage drop"),"High","Medium"))))</f>
        <v/>
      </c>
      <c r="P154" s="144">
        <f>IF(OR($N154="",$N154="Normal"),0,ABS($I154-$J154)*'Energy Data Input'!$O154)</f>
        <v/>
      </c>
      <c r="Q154" s="102">
        <f>IF($N154="Normal","",IF($N154="Stalled reading / possibly offline","核查表计通信/Electricity池/网关/阀门Status",IF(AND($H154="Water",$N154&lt;&gt;"Normal"),"检查管网、阀门、卫生间、冷却塔及夜间最小流量",IF(AND($H154="Electricity",$N154&lt;&gt;"Normal"),"检查空调、照明、生产设备、PeakOff-peak时段与待机功耗",IF(AND($H154="Gas",$N154&lt;&gt;"Normal"),"检查燃Gas阀门、锅炉/厨房设备与泄漏风险","核查设备工况、排班、产量与计量数据")))))</f>
        <v/>
      </c>
      <c r="R154" s="102">
        <f>IF($H154="","",IFERROR(VLOOKUP($H154,'Base Settings'!$A$13:$K$19,11,FALSE),"Energy management owner"))</f>
        <v/>
      </c>
      <c r="S154" s="102">
        <f>IF($N154="","",IF($N154="Normal","No action needed","Open"))</f>
        <v/>
      </c>
      <c r="T154" s="141">
        <f>IF(OR($B154="",$N154="Normal"),"",WORKDAY($B154,IF($O154="Severe",1,IF($O154="High",2,3))))</f>
        <v/>
      </c>
      <c r="U154" s="102">
        <f>IF($T154="","",IF(AND($S154&lt;&gt;"Closed",TODAY()&gt;$T154),"Overdue","Not overdue"))</f>
        <v/>
      </c>
      <c r="V154" s="102" t="n"/>
      <c r="W154" s="141" t="n"/>
      <c r="X154" s="102" t="n"/>
    </row>
    <row r="155">
      <c r="A155" s="102">
        <f>IF('Energy Data Input'!$A155="","","AL-"&amp;TEXT(ROW()-5,"0000"))</f>
        <v/>
      </c>
      <c r="B155" s="141">
        <f>IF('Energy Data Input'!$B155="","",'Energy Data Input'!$B155)</f>
        <v/>
      </c>
      <c r="C155" s="102">
        <f>IF('Energy Data Input'!$C155="","",'Energy Data Input'!$C155)</f>
        <v/>
      </c>
      <c r="D155" s="102">
        <f>IF('Energy Data Input'!$D155="","",'Energy Data Input'!$D155)</f>
        <v/>
      </c>
      <c r="E155" s="102">
        <f>IF('Energy Data Input'!$E155="","",'Energy Data Input'!$E155)</f>
        <v/>
      </c>
      <c r="F155" s="102">
        <f>IF('Energy Data Input'!$G155="","",'Energy Data Input'!$G155)</f>
        <v/>
      </c>
      <c r="G155" s="102">
        <f>IF('Energy Data Input'!$H155="","",'Energy Data Input'!$H155)</f>
        <v/>
      </c>
      <c r="H155" s="102">
        <f>IF('Energy Data Input'!$J155="","",'Energy Data Input'!$J155)</f>
        <v/>
      </c>
      <c r="I155" s="142">
        <f>IF('Energy Data Input'!$N155="","",'Energy Data Input'!$N155)</f>
        <v/>
      </c>
      <c r="J155" s="142">
        <f>IF($B155="","",IFERROR(AVERAGEIFS('Energy Data Input'!$N$6:$N$205,'Energy Data Input'!$B$6:$B$205,"&gt;="&amp;$B155-7,'Energy Data Input'!$B$6:$B$205,"&lt;"&amp;$B155,'Energy Data Input'!$H$6:$H$205,$G155,'Energy Data Input'!$J$6:$J$205,$H155),$I155))</f>
        <v/>
      </c>
      <c r="K155" s="143">
        <f>IFERROR(($I155-$J155)/$J155,"")</f>
        <v/>
      </c>
      <c r="L155" s="102">
        <f>IF('Energy Data Input'!$V155="","",'Energy Data Input'!$V155)</f>
        <v/>
      </c>
      <c r="M155" s="102">
        <f>IF($H155="","",IFERROR(VLOOKUP($H155,'Base Settings'!$A$13:$K$19,5,FALSE),0.2))</f>
        <v/>
      </c>
      <c r="N155" s="102">
        <f>IF($B155="","",IF('Energy Data Input'!$L155="","Missing reading",IF($I155=0,"Stalled reading / possibly offline",IF($K155&gt;=IFERROR(VLOOKUP($H155,'Base Settings'!$A$13:$K$19,6,FALSE),0.5),"Severe spike",IF($K155&gt;=$M155,"Usage spike",IF($K155&lt;=-IFERROR(VLOOKUP($H155,'Base Settings'!$A$13:$K$19,7,FALSE),0.3),"Usage drop",IF($L155&gt;IFERROR(VLOOKUP($H155,'Base Settings'!$A$13:$K$19,8,FALSE),999999),"Area intensity overrun","Normal")))))))</f>
        <v/>
      </c>
      <c r="O155" s="102">
        <f>IF($N155="","",IF($N155="Normal","Normal",IF(OR($N155="Severe spike",$K155&gt;=IFERROR(VLOOKUP($H155,'Base Settings'!$A$13:$K$19,6,FALSE),0.5)),"Severe",IF(OR($N155="Usage spike",$N155="Usage drop"),"High","Medium"))))</f>
        <v/>
      </c>
      <c r="P155" s="144">
        <f>IF(OR($N155="",$N155="Normal"),0,ABS($I155-$J155)*'Energy Data Input'!$O155)</f>
        <v/>
      </c>
      <c r="Q155" s="102">
        <f>IF($N155="Normal","",IF($N155="Stalled reading / possibly offline","核查表计通信/Electricity池/网关/阀门Status",IF(AND($H155="Water",$N155&lt;&gt;"Normal"),"检查管网、阀门、卫生间、冷却塔及夜间最小流量",IF(AND($H155="Electricity",$N155&lt;&gt;"Normal"),"检查空调、照明、生产设备、PeakOff-peak时段与待机功耗",IF(AND($H155="Gas",$N155&lt;&gt;"Normal"),"检查燃Gas阀门、锅炉/厨房设备与泄漏风险","核查设备工况、排班、产量与计量数据")))))</f>
        <v/>
      </c>
      <c r="R155" s="102">
        <f>IF($H155="","",IFERROR(VLOOKUP($H155,'Base Settings'!$A$13:$K$19,11,FALSE),"Energy management owner"))</f>
        <v/>
      </c>
      <c r="S155" s="102">
        <f>IF($N155="","",IF($N155="Normal","No action needed","Open"))</f>
        <v/>
      </c>
      <c r="T155" s="141">
        <f>IF(OR($B155="",$N155="Normal"),"",WORKDAY($B155,IF($O155="Severe",1,IF($O155="High",2,3))))</f>
        <v/>
      </c>
      <c r="U155" s="102">
        <f>IF($T155="","",IF(AND($S155&lt;&gt;"Closed",TODAY()&gt;$T155),"Overdue","Not overdue"))</f>
        <v/>
      </c>
      <c r="V155" s="102" t="n"/>
      <c r="W155" s="141" t="n"/>
      <c r="X155" s="102" t="n"/>
    </row>
    <row r="156">
      <c r="A156" s="102">
        <f>IF('Energy Data Input'!$A156="","","AL-"&amp;TEXT(ROW()-5,"0000"))</f>
        <v/>
      </c>
      <c r="B156" s="141">
        <f>IF('Energy Data Input'!$B156="","",'Energy Data Input'!$B156)</f>
        <v/>
      </c>
      <c r="C156" s="102">
        <f>IF('Energy Data Input'!$C156="","",'Energy Data Input'!$C156)</f>
        <v/>
      </c>
      <c r="D156" s="102">
        <f>IF('Energy Data Input'!$D156="","",'Energy Data Input'!$D156)</f>
        <v/>
      </c>
      <c r="E156" s="102">
        <f>IF('Energy Data Input'!$E156="","",'Energy Data Input'!$E156)</f>
        <v/>
      </c>
      <c r="F156" s="102">
        <f>IF('Energy Data Input'!$G156="","",'Energy Data Input'!$G156)</f>
        <v/>
      </c>
      <c r="G156" s="102">
        <f>IF('Energy Data Input'!$H156="","",'Energy Data Input'!$H156)</f>
        <v/>
      </c>
      <c r="H156" s="102">
        <f>IF('Energy Data Input'!$J156="","",'Energy Data Input'!$J156)</f>
        <v/>
      </c>
      <c r="I156" s="142">
        <f>IF('Energy Data Input'!$N156="","",'Energy Data Input'!$N156)</f>
        <v/>
      </c>
      <c r="J156" s="142">
        <f>IF($B156="","",IFERROR(AVERAGEIFS('Energy Data Input'!$N$6:$N$205,'Energy Data Input'!$B$6:$B$205,"&gt;="&amp;$B156-7,'Energy Data Input'!$B$6:$B$205,"&lt;"&amp;$B156,'Energy Data Input'!$H$6:$H$205,$G156,'Energy Data Input'!$J$6:$J$205,$H156),$I156))</f>
        <v/>
      </c>
      <c r="K156" s="143">
        <f>IFERROR(($I156-$J156)/$J156,"")</f>
        <v/>
      </c>
      <c r="L156" s="102">
        <f>IF('Energy Data Input'!$V156="","",'Energy Data Input'!$V156)</f>
        <v/>
      </c>
      <c r="M156" s="102">
        <f>IF($H156="","",IFERROR(VLOOKUP($H156,'Base Settings'!$A$13:$K$19,5,FALSE),0.2))</f>
        <v/>
      </c>
      <c r="N156" s="102">
        <f>IF($B156="","",IF('Energy Data Input'!$L156="","Missing reading",IF($I156=0,"Stalled reading / possibly offline",IF($K156&gt;=IFERROR(VLOOKUP($H156,'Base Settings'!$A$13:$K$19,6,FALSE),0.5),"Severe spike",IF($K156&gt;=$M156,"Usage spike",IF($K156&lt;=-IFERROR(VLOOKUP($H156,'Base Settings'!$A$13:$K$19,7,FALSE),0.3),"Usage drop",IF($L156&gt;IFERROR(VLOOKUP($H156,'Base Settings'!$A$13:$K$19,8,FALSE),999999),"Area intensity overrun","Normal")))))))</f>
        <v/>
      </c>
      <c r="O156" s="102">
        <f>IF($N156="","",IF($N156="Normal","Normal",IF(OR($N156="Severe spike",$K156&gt;=IFERROR(VLOOKUP($H156,'Base Settings'!$A$13:$K$19,6,FALSE),0.5)),"Severe",IF(OR($N156="Usage spike",$N156="Usage drop"),"High","Medium"))))</f>
        <v/>
      </c>
      <c r="P156" s="144">
        <f>IF(OR($N156="",$N156="Normal"),0,ABS($I156-$J156)*'Energy Data Input'!$O156)</f>
        <v/>
      </c>
      <c r="Q156" s="102">
        <f>IF($N156="Normal","",IF($N156="Stalled reading / possibly offline","核查表计通信/Electricity池/网关/阀门Status",IF(AND($H156="Water",$N156&lt;&gt;"Normal"),"检查管网、阀门、卫生间、冷却塔及夜间最小流量",IF(AND($H156="Electricity",$N156&lt;&gt;"Normal"),"检查空调、照明、生产设备、PeakOff-peak时段与待机功耗",IF(AND($H156="Gas",$N156&lt;&gt;"Normal"),"检查燃Gas阀门、锅炉/厨房设备与泄漏风险","核查设备工况、排班、产量与计量数据")))))</f>
        <v/>
      </c>
      <c r="R156" s="102">
        <f>IF($H156="","",IFERROR(VLOOKUP($H156,'Base Settings'!$A$13:$K$19,11,FALSE),"Energy management owner"))</f>
        <v/>
      </c>
      <c r="S156" s="102">
        <f>IF($N156="","",IF($N156="Normal","No action needed","Open"))</f>
        <v/>
      </c>
      <c r="T156" s="141">
        <f>IF(OR($B156="",$N156="Normal"),"",WORKDAY($B156,IF($O156="Severe",1,IF($O156="High",2,3))))</f>
        <v/>
      </c>
      <c r="U156" s="102">
        <f>IF($T156="","",IF(AND($S156&lt;&gt;"Closed",TODAY()&gt;$T156),"Overdue","Not overdue"))</f>
        <v/>
      </c>
      <c r="V156" s="102" t="n"/>
      <c r="W156" s="141" t="n"/>
      <c r="X156" s="102" t="n"/>
    </row>
    <row r="157">
      <c r="A157" s="102">
        <f>IF('Energy Data Input'!$A157="","","AL-"&amp;TEXT(ROW()-5,"0000"))</f>
        <v/>
      </c>
      <c r="B157" s="141">
        <f>IF('Energy Data Input'!$B157="","",'Energy Data Input'!$B157)</f>
        <v/>
      </c>
      <c r="C157" s="102">
        <f>IF('Energy Data Input'!$C157="","",'Energy Data Input'!$C157)</f>
        <v/>
      </c>
      <c r="D157" s="102">
        <f>IF('Energy Data Input'!$D157="","",'Energy Data Input'!$D157)</f>
        <v/>
      </c>
      <c r="E157" s="102">
        <f>IF('Energy Data Input'!$E157="","",'Energy Data Input'!$E157)</f>
        <v/>
      </c>
      <c r="F157" s="102">
        <f>IF('Energy Data Input'!$G157="","",'Energy Data Input'!$G157)</f>
        <v/>
      </c>
      <c r="G157" s="102">
        <f>IF('Energy Data Input'!$H157="","",'Energy Data Input'!$H157)</f>
        <v/>
      </c>
      <c r="H157" s="102">
        <f>IF('Energy Data Input'!$J157="","",'Energy Data Input'!$J157)</f>
        <v/>
      </c>
      <c r="I157" s="142">
        <f>IF('Energy Data Input'!$N157="","",'Energy Data Input'!$N157)</f>
        <v/>
      </c>
      <c r="J157" s="142">
        <f>IF($B157="","",IFERROR(AVERAGEIFS('Energy Data Input'!$N$6:$N$205,'Energy Data Input'!$B$6:$B$205,"&gt;="&amp;$B157-7,'Energy Data Input'!$B$6:$B$205,"&lt;"&amp;$B157,'Energy Data Input'!$H$6:$H$205,$G157,'Energy Data Input'!$J$6:$J$205,$H157),$I157))</f>
        <v/>
      </c>
      <c r="K157" s="143">
        <f>IFERROR(($I157-$J157)/$J157,"")</f>
        <v/>
      </c>
      <c r="L157" s="102">
        <f>IF('Energy Data Input'!$V157="","",'Energy Data Input'!$V157)</f>
        <v/>
      </c>
      <c r="M157" s="102">
        <f>IF($H157="","",IFERROR(VLOOKUP($H157,'Base Settings'!$A$13:$K$19,5,FALSE),0.2))</f>
        <v/>
      </c>
      <c r="N157" s="102">
        <f>IF($B157="","",IF('Energy Data Input'!$L157="","Missing reading",IF($I157=0,"Stalled reading / possibly offline",IF($K157&gt;=IFERROR(VLOOKUP($H157,'Base Settings'!$A$13:$K$19,6,FALSE),0.5),"Severe spike",IF($K157&gt;=$M157,"Usage spike",IF($K157&lt;=-IFERROR(VLOOKUP($H157,'Base Settings'!$A$13:$K$19,7,FALSE),0.3),"Usage drop",IF($L157&gt;IFERROR(VLOOKUP($H157,'Base Settings'!$A$13:$K$19,8,FALSE),999999),"Area intensity overrun","Normal")))))))</f>
        <v/>
      </c>
      <c r="O157" s="102">
        <f>IF($N157="","",IF($N157="Normal","Normal",IF(OR($N157="Severe spike",$K157&gt;=IFERROR(VLOOKUP($H157,'Base Settings'!$A$13:$K$19,6,FALSE),0.5)),"Severe",IF(OR($N157="Usage spike",$N157="Usage drop"),"High","Medium"))))</f>
        <v/>
      </c>
      <c r="P157" s="144">
        <f>IF(OR($N157="",$N157="Normal"),0,ABS($I157-$J157)*'Energy Data Input'!$O157)</f>
        <v/>
      </c>
      <c r="Q157" s="102">
        <f>IF($N157="Normal","",IF($N157="Stalled reading / possibly offline","核查表计通信/Electricity池/网关/阀门Status",IF(AND($H157="Water",$N157&lt;&gt;"Normal"),"检查管网、阀门、卫生间、冷却塔及夜间最小流量",IF(AND($H157="Electricity",$N157&lt;&gt;"Normal"),"检查空调、照明、生产设备、PeakOff-peak时段与待机功耗",IF(AND($H157="Gas",$N157&lt;&gt;"Normal"),"检查燃Gas阀门、锅炉/厨房设备与泄漏风险","核查设备工况、排班、产量与计量数据")))))</f>
        <v/>
      </c>
      <c r="R157" s="102">
        <f>IF($H157="","",IFERROR(VLOOKUP($H157,'Base Settings'!$A$13:$K$19,11,FALSE),"Energy management owner"))</f>
        <v/>
      </c>
      <c r="S157" s="102">
        <f>IF($N157="","",IF($N157="Normal","No action needed","Open"))</f>
        <v/>
      </c>
      <c r="T157" s="141">
        <f>IF(OR($B157="",$N157="Normal"),"",WORKDAY($B157,IF($O157="Severe",1,IF($O157="High",2,3))))</f>
        <v/>
      </c>
      <c r="U157" s="102">
        <f>IF($T157="","",IF(AND($S157&lt;&gt;"Closed",TODAY()&gt;$T157),"Overdue","Not overdue"))</f>
        <v/>
      </c>
      <c r="V157" s="102" t="n"/>
      <c r="W157" s="141" t="n"/>
      <c r="X157" s="102" t="n"/>
    </row>
    <row r="158">
      <c r="A158" s="102">
        <f>IF('Energy Data Input'!$A158="","","AL-"&amp;TEXT(ROW()-5,"0000"))</f>
        <v/>
      </c>
      <c r="B158" s="141">
        <f>IF('Energy Data Input'!$B158="","",'Energy Data Input'!$B158)</f>
        <v/>
      </c>
      <c r="C158" s="102">
        <f>IF('Energy Data Input'!$C158="","",'Energy Data Input'!$C158)</f>
        <v/>
      </c>
      <c r="D158" s="102">
        <f>IF('Energy Data Input'!$D158="","",'Energy Data Input'!$D158)</f>
        <v/>
      </c>
      <c r="E158" s="102">
        <f>IF('Energy Data Input'!$E158="","",'Energy Data Input'!$E158)</f>
        <v/>
      </c>
      <c r="F158" s="102">
        <f>IF('Energy Data Input'!$G158="","",'Energy Data Input'!$G158)</f>
        <v/>
      </c>
      <c r="G158" s="102">
        <f>IF('Energy Data Input'!$H158="","",'Energy Data Input'!$H158)</f>
        <v/>
      </c>
      <c r="H158" s="102">
        <f>IF('Energy Data Input'!$J158="","",'Energy Data Input'!$J158)</f>
        <v/>
      </c>
      <c r="I158" s="142">
        <f>IF('Energy Data Input'!$N158="","",'Energy Data Input'!$N158)</f>
        <v/>
      </c>
      <c r="J158" s="142">
        <f>IF($B158="","",IFERROR(AVERAGEIFS('Energy Data Input'!$N$6:$N$205,'Energy Data Input'!$B$6:$B$205,"&gt;="&amp;$B158-7,'Energy Data Input'!$B$6:$B$205,"&lt;"&amp;$B158,'Energy Data Input'!$H$6:$H$205,$G158,'Energy Data Input'!$J$6:$J$205,$H158),$I158))</f>
        <v/>
      </c>
      <c r="K158" s="143">
        <f>IFERROR(($I158-$J158)/$J158,"")</f>
        <v/>
      </c>
      <c r="L158" s="102">
        <f>IF('Energy Data Input'!$V158="","",'Energy Data Input'!$V158)</f>
        <v/>
      </c>
      <c r="M158" s="102">
        <f>IF($H158="","",IFERROR(VLOOKUP($H158,'Base Settings'!$A$13:$K$19,5,FALSE),0.2))</f>
        <v/>
      </c>
      <c r="N158" s="102">
        <f>IF($B158="","",IF('Energy Data Input'!$L158="","Missing reading",IF($I158=0,"Stalled reading / possibly offline",IF($K158&gt;=IFERROR(VLOOKUP($H158,'Base Settings'!$A$13:$K$19,6,FALSE),0.5),"Severe spike",IF($K158&gt;=$M158,"Usage spike",IF($K158&lt;=-IFERROR(VLOOKUP($H158,'Base Settings'!$A$13:$K$19,7,FALSE),0.3),"Usage drop",IF($L158&gt;IFERROR(VLOOKUP($H158,'Base Settings'!$A$13:$K$19,8,FALSE),999999),"Area intensity overrun","Normal")))))))</f>
        <v/>
      </c>
      <c r="O158" s="102">
        <f>IF($N158="","",IF($N158="Normal","Normal",IF(OR($N158="Severe spike",$K158&gt;=IFERROR(VLOOKUP($H158,'Base Settings'!$A$13:$K$19,6,FALSE),0.5)),"Severe",IF(OR($N158="Usage spike",$N158="Usage drop"),"High","Medium"))))</f>
        <v/>
      </c>
      <c r="P158" s="144">
        <f>IF(OR($N158="",$N158="Normal"),0,ABS($I158-$J158)*'Energy Data Input'!$O158)</f>
        <v/>
      </c>
      <c r="Q158" s="102">
        <f>IF($N158="Normal","",IF($N158="Stalled reading / possibly offline","核查表计通信/Electricity池/网关/阀门Status",IF(AND($H158="Water",$N158&lt;&gt;"Normal"),"检查管网、阀门、卫生间、冷却塔及夜间最小流量",IF(AND($H158="Electricity",$N158&lt;&gt;"Normal"),"检查空调、照明、生产设备、PeakOff-peak时段与待机功耗",IF(AND($H158="Gas",$N158&lt;&gt;"Normal"),"检查燃Gas阀门、锅炉/厨房设备与泄漏风险","核查设备工况、排班、产量与计量数据")))))</f>
        <v/>
      </c>
      <c r="R158" s="102">
        <f>IF($H158="","",IFERROR(VLOOKUP($H158,'Base Settings'!$A$13:$K$19,11,FALSE),"Energy management owner"))</f>
        <v/>
      </c>
      <c r="S158" s="102">
        <f>IF($N158="","",IF($N158="Normal","No action needed","Open"))</f>
        <v/>
      </c>
      <c r="T158" s="141">
        <f>IF(OR($B158="",$N158="Normal"),"",WORKDAY($B158,IF($O158="Severe",1,IF($O158="High",2,3))))</f>
        <v/>
      </c>
      <c r="U158" s="102">
        <f>IF($T158="","",IF(AND($S158&lt;&gt;"Closed",TODAY()&gt;$T158),"Overdue","Not overdue"))</f>
        <v/>
      </c>
      <c r="V158" s="102" t="n"/>
      <c r="W158" s="141" t="n"/>
      <c r="X158" s="102" t="n"/>
    </row>
    <row r="159">
      <c r="A159" s="102">
        <f>IF('Energy Data Input'!$A159="","","AL-"&amp;TEXT(ROW()-5,"0000"))</f>
        <v/>
      </c>
      <c r="B159" s="141">
        <f>IF('Energy Data Input'!$B159="","",'Energy Data Input'!$B159)</f>
        <v/>
      </c>
      <c r="C159" s="102">
        <f>IF('Energy Data Input'!$C159="","",'Energy Data Input'!$C159)</f>
        <v/>
      </c>
      <c r="D159" s="102">
        <f>IF('Energy Data Input'!$D159="","",'Energy Data Input'!$D159)</f>
        <v/>
      </c>
      <c r="E159" s="102">
        <f>IF('Energy Data Input'!$E159="","",'Energy Data Input'!$E159)</f>
        <v/>
      </c>
      <c r="F159" s="102">
        <f>IF('Energy Data Input'!$G159="","",'Energy Data Input'!$G159)</f>
        <v/>
      </c>
      <c r="G159" s="102">
        <f>IF('Energy Data Input'!$H159="","",'Energy Data Input'!$H159)</f>
        <v/>
      </c>
      <c r="H159" s="102">
        <f>IF('Energy Data Input'!$J159="","",'Energy Data Input'!$J159)</f>
        <v/>
      </c>
      <c r="I159" s="142">
        <f>IF('Energy Data Input'!$N159="","",'Energy Data Input'!$N159)</f>
        <v/>
      </c>
      <c r="J159" s="142">
        <f>IF($B159="","",IFERROR(AVERAGEIFS('Energy Data Input'!$N$6:$N$205,'Energy Data Input'!$B$6:$B$205,"&gt;="&amp;$B159-7,'Energy Data Input'!$B$6:$B$205,"&lt;"&amp;$B159,'Energy Data Input'!$H$6:$H$205,$G159,'Energy Data Input'!$J$6:$J$205,$H159),$I159))</f>
        <v/>
      </c>
      <c r="K159" s="143">
        <f>IFERROR(($I159-$J159)/$J159,"")</f>
        <v/>
      </c>
      <c r="L159" s="102">
        <f>IF('Energy Data Input'!$V159="","",'Energy Data Input'!$V159)</f>
        <v/>
      </c>
      <c r="M159" s="102">
        <f>IF($H159="","",IFERROR(VLOOKUP($H159,'Base Settings'!$A$13:$K$19,5,FALSE),0.2))</f>
        <v/>
      </c>
      <c r="N159" s="102">
        <f>IF($B159="","",IF('Energy Data Input'!$L159="","Missing reading",IF($I159=0,"Stalled reading / possibly offline",IF($K159&gt;=IFERROR(VLOOKUP($H159,'Base Settings'!$A$13:$K$19,6,FALSE),0.5),"Severe spike",IF($K159&gt;=$M159,"Usage spike",IF($K159&lt;=-IFERROR(VLOOKUP($H159,'Base Settings'!$A$13:$K$19,7,FALSE),0.3),"Usage drop",IF($L159&gt;IFERROR(VLOOKUP($H159,'Base Settings'!$A$13:$K$19,8,FALSE),999999),"Area intensity overrun","Normal")))))))</f>
        <v/>
      </c>
      <c r="O159" s="102">
        <f>IF($N159="","",IF($N159="Normal","Normal",IF(OR($N159="Severe spike",$K159&gt;=IFERROR(VLOOKUP($H159,'Base Settings'!$A$13:$K$19,6,FALSE),0.5)),"Severe",IF(OR($N159="Usage spike",$N159="Usage drop"),"High","Medium"))))</f>
        <v/>
      </c>
      <c r="P159" s="144">
        <f>IF(OR($N159="",$N159="Normal"),0,ABS($I159-$J159)*'Energy Data Input'!$O159)</f>
        <v/>
      </c>
      <c r="Q159" s="102">
        <f>IF($N159="Normal","",IF($N159="Stalled reading / possibly offline","核查表计通信/Electricity池/网关/阀门Status",IF(AND($H159="Water",$N159&lt;&gt;"Normal"),"检查管网、阀门、卫生间、冷却塔及夜间最小流量",IF(AND($H159="Electricity",$N159&lt;&gt;"Normal"),"检查空调、照明、生产设备、PeakOff-peak时段与待机功耗",IF(AND($H159="Gas",$N159&lt;&gt;"Normal"),"检查燃Gas阀门、锅炉/厨房设备与泄漏风险","核查设备工况、排班、产量与计量数据")))))</f>
        <v/>
      </c>
      <c r="R159" s="102">
        <f>IF($H159="","",IFERROR(VLOOKUP($H159,'Base Settings'!$A$13:$K$19,11,FALSE),"Energy management owner"))</f>
        <v/>
      </c>
      <c r="S159" s="102">
        <f>IF($N159="","",IF($N159="Normal","No action needed","Open"))</f>
        <v/>
      </c>
      <c r="T159" s="141">
        <f>IF(OR($B159="",$N159="Normal"),"",WORKDAY($B159,IF($O159="Severe",1,IF($O159="High",2,3))))</f>
        <v/>
      </c>
      <c r="U159" s="102">
        <f>IF($T159="","",IF(AND($S159&lt;&gt;"Closed",TODAY()&gt;$T159),"Overdue","Not overdue"))</f>
        <v/>
      </c>
      <c r="V159" s="102" t="n"/>
      <c r="W159" s="141" t="n"/>
      <c r="X159" s="102" t="n"/>
    </row>
    <row r="160">
      <c r="A160" s="102">
        <f>IF('Energy Data Input'!$A160="","","AL-"&amp;TEXT(ROW()-5,"0000"))</f>
        <v/>
      </c>
      <c r="B160" s="141">
        <f>IF('Energy Data Input'!$B160="","",'Energy Data Input'!$B160)</f>
        <v/>
      </c>
      <c r="C160" s="102">
        <f>IF('Energy Data Input'!$C160="","",'Energy Data Input'!$C160)</f>
        <v/>
      </c>
      <c r="D160" s="102">
        <f>IF('Energy Data Input'!$D160="","",'Energy Data Input'!$D160)</f>
        <v/>
      </c>
      <c r="E160" s="102">
        <f>IF('Energy Data Input'!$E160="","",'Energy Data Input'!$E160)</f>
        <v/>
      </c>
      <c r="F160" s="102">
        <f>IF('Energy Data Input'!$G160="","",'Energy Data Input'!$G160)</f>
        <v/>
      </c>
      <c r="G160" s="102">
        <f>IF('Energy Data Input'!$H160="","",'Energy Data Input'!$H160)</f>
        <v/>
      </c>
      <c r="H160" s="102">
        <f>IF('Energy Data Input'!$J160="","",'Energy Data Input'!$J160)</f>
        <v/>
      </c>
      <c r="I160" s="142">
        <f>IF('Energy Data Input'!$N160="","",'Energy Data Input'!$N160)</f>
        <v/>
      </c>
      <c r="J160" s="142">
        <f>IF($B160="","",IFERROR(AVERAGEIFS('Energy Data Input'!$N$6:$N$205,'Energy Data Input'!$B$6:$B$205,"&gt;="&amp;$B160-7,'Energy Data Input'!$B$6:$B$205,"&lt;"&amp;$B160,'Energy Data Input'!$H$6:$H$205,$G160,'Energy Data Input'!$J$6:$J$205,$H160),$I160))</f>
        <v/>
      </c>
      <c r="K160" s="143">
        <f>IFERROR(($I160-$J160)/$J160,"")</f>
        <v/>
      </c>
      <c r="L160" s="102">
        <f>IF('Energy Data Input'!$V160="","",'Energy Data Input'!$V160)</f>
        <v/>
      </c>
      <c r="M160" s="102">
        <f>IF($H160="","",IFERROR(VLOOKUP($H160,'Base Settings'!$A$13:$K$19,5,FALSE),0.2))</f>
        <v/>
      </c>
      <c r="N160" s="102">
        <f>IF($B160="","",IF('Energy Data Input'!$L160="","Missing reading",IF($I160=0,"Stalled reading / possibly offline",IF($K160&gt;=IFERROR(VLOOKUP($H160,'Base Settings'!$A$13:$K$19,6,FALSE),0.5),"Severe spike",IF($K160&gt;=$M160,"Usage spike",IF($K160&lt;=-IFERROR(VLOOKUP($H160,'Base Settings'!$A$13:$K$19,7,FALSE),0.3),"Usage drop",IF($L160&gt;IFERROR(VLOOKUP($H160,'Base Settings'!$A$13:$K$19,8,FALSE),999999),"Area intensity overrun","Normal")))))))</f>
        <v/>
      </c>
      <c r="O160" s="102">
        <f>IF($N160="","",IF($N160="Normal","Normal",IF(OR($N160="Severe spike",$K160&gt;=IFERROR(VLOOKUP($H160,'Base Settings'!$A$13:$K$19,6,FALSE),0.5)),"Severe",IF(OR($N160="Usage spike",$N160="Usage drop"),"High","Medium"))))</f>
        <v/>
      </c>
      <c r="P160" s="144">
        <f>IF(OR($N160="",$N160="Normal"),0,ABS($I160-$J160)*'Energy Data Input'!$O160)</f>
        <v/>
      </c>
      <c r="Q160" s="102">
        <f>IF($N160="Normal","",IF($N160="Stalled reading / possibly offline","核查表计通信/Electricity池/网关/阀门Status",IF(AND($H160="Water",$N160&lt;&gt;"Normal"),"检查管网、阀门、卫生间、冷却塔及夜间最小流量",IF(AND($H160="Electricity",$N160&lt;&gt;"Normal"),"检查空调、照明、生产设备、PeakOff-peak时段与待机功耗",IF(AND($H160="Gas",$N160&lt;&gt;"Normal"),"检查燃Gas阀门、锅炉/厨房设备与泄漏风险","核查设备工况、排班、产量与计量数据")))))</f>
        <v/>
      </c>
      <c r="R160" s="102">
        <f>IF($H160="","",IFERROR(VLOOKUP($H160,'Base Settings'!$A$13:$K$19,11,FALSE),"Energy management owner"))</f>
        <v/>
      </c>
      <c r="S160" s="102">
        <f>IF($N160="","",IF($N160="Normal","No action needed","Open"))</f>
        <v/>
      </c>
      <c r="T160" s="141">
        <f>IF(OR($B160="",$N160="Normal"),"",WORKDAY($B160,IF($O160="Severe",1,IF($O160="High",2,3))))</f>
        <v/>
      </c>
      <c r="U160" s="102">
        <f>IF($T160="","",IF(AND($S160&lt;&gt;"Closed",TODAY()&gt;$T160),"Overdue","Not overdue"))</f>
        <v/>
      </c>
      <c r="V160" s="102" t="n"/>
      <c r="W160" s="141" t="n"/>
      <c r="X160" s="102" t="n"/>
    </row>
    <row r="161">
      <c r="A161" s="102">
        <f>IF('Energy Data Input'!$A161="","","AL-"&amp;TEXT(ROW()-5,"0000"))</f>
        <v/>
      </c>
      <c r="B161" s="141">
        <f>IF('Energy Data Input'!$B161="","",'Energy Data Input'!$B161)</f>
        <v/>
      </c>
      <c r="C161" s="102">
        <f>IF('Energy Data Input'!$C161="","",'Energy Data Input'!$C161)</f>
        <v/>
      </c>
      <c r="D161" s="102">
        <f>IF('Energy Data Input'!$D161="","",'Energy Data Input'!$D161)</f>
        <v/>
      </c>
      <c r="E161" s="102">
        <f>IF('Energy Data Input'!$E161="","",'Energy Data Input'!$E161)</f>
        <v/>
      </c>
      <c r="F161" s="102">
        <f>IF('Energy Data Input'!$G161="","",'Energy Data Input'!$G161)</f>
        <v/>
      </c>
      <c r="G161" s="102">
        <f>IF('Energy Data Input'!$H161="","",'Energy Data Input'!$H161)</f>
        <v/>
      </c>
      <c r="H161" s="102">
        <f>IF('Energy Data Input'!$J161="","",'Energy Data Input'!$J161)</f>
        <v/>
      </c>
      <c r="I161" s="142">
        <f>IF('Energy Data Input'!$N161="","",'Energy Data Input'!$N161)</f>
        <v/>
      </c>
      <c r="J161" s="142">
        <f>IF($B161="","",IFERROR(AVERAGEIFS('Energy Data Input'!$N$6:$N$205,'Energy Data Input'!$B$6:$B$205,"&gt;="&amp;$B161-7,'Energy Data Input'!$B$6:$B$205,"&lt;"&amp;$B161,'Energy Data Input'!$H$6:$H$205,$G161,'Energy Data Input'!$J$6:$J$205,$H161),$I161))</f>
        <v/>
      </c>
      <c r="K161" s="143">
        <f>IFERROR(($I161-$J161)/$J161,"")</f>
        <v/>
      </c>
      <c r="L161" s="102">
        <f>IF('Energy Data Input'!$V161="","",'Energy Data Input'!$V161)</f>
        <v/>
      </c>
      <c r="M161" s="102">
        <f>IF($H161="","",IFERROR(VLOOKUP($H161,'Base Settings'!$A$13:$K$19,5,FALSE),0.2))</f>
        <v/>
      </c>
      <c r="N161" s="102">
        <f>IF($B161="","",IF('Energy Data Input'!$L161="","Missing reading",IF($I161=0,"Stalled reading / possibly offline",IF($K161&gt;=IFERROR(VLOOKUP($H161,'Base Settings'!$A$13:$K$19,6,FALSE),0.5),"Severe spike",IF($K161&gt;=$M161,"Usage spike",IF($K161&lt;=-IFERROR(VLOOKUP($H161,'Base Settings'!$A$13:$K$19,7,FALSE),0.3),"Usage drop",IF($L161&gt;IFERROR(VLOOKUP($H161,'Base Settings'!$A$13:$K$19,8,FALSE),999999),"Area intensity overrun","Normal")))))))</f>
        <v/>
      </c>
      <c r="O161" s="102">
        <f>IF($N161="","",IF($N161="Normal","Normal",IF(OR($N161="Severe spike",$K161&gt;=IFERROR(VLOOKUP($H161,'Base Settings'!$A$13:$K$19,6,FALSE),0.5)),"Severe",IF(OR($N161="Usage spike",$N161="Usage drop"),"High","Medium"))))</f>
        <v/>
      </c>
      <c r="P161" s="144">
        <f>IF(OR($N161="",$N161="Normal"),0,ABS($I161-$J161)*'Energy Data Input'!$O161)</f>
        <v/>
      </c>
      <c r="Q161" s="102">
        <f>IF($N161="Normal","",IF($N161="Stalled reading / possibly offline","核查表计通信/Electricity池/网关/阀门Status",IF(AND($H161="Water",$N161&lt;&gt;"Normal"),"检查管网、阀门、卫生间、冷却塔及夜间最小流量",IF(AND($H161="Electricity",$N161&lt;&gt;"Normal"),"检查空调、照明、生产设备、PeakOff-peak时段与待机功耗",IF(AND($H161="Gas",$N161&lt;&gt;"Normal"),"检查燃Gas阀门、锅炉/厨房设备与泄漏风险","核查设备工况、排班、产量与计量数据")))))</f>
        <v/>
      </c>
      <c r="R161" s="102">
        <f>IF($H161="","",IFERROR(VLOOKUP($H161,'Base Settings'!$A$13:$K$19,11,FALSE),"Energy management owner"))</f>
        <v/>
      </c>
      <c r="S161" s="102">
        <f>IF($N161="","",IF($N161="Normal","No action needed","Open"))</f>
        <v/>
      </c>
      <c r="T161" s="141">
        <f>IF(OR($B161="",$N161="Normal"),"",WORKDAY($B161,IF($O161="Severe",1,IF($O161="High",2,3))))</f>
        <v/>
      </c>
      <c r="U161" s="102">
        <f>IF($T161="","",IF(AND($S161&lt;&gt;"Closed",TODAY()&gt;$T161),"Overdue","Not overdue"))</f>
        <v/>
      </c>
      <c r="V161" s="102" t="n"/>
      <c r="W161" s="141" t="n"/>
      <c r="X161" s="102" t="n"/>
    </row>
    <row r="162">
      <c r="A162" s="102">
        <f>IF('Energy Data Input'!$A162="","","AL-"&amp;TEXT(ROW()-5,"0000"))</f>
        <v/>
      </c>
      <c r="B162" s="141">
        <f>IF('Energy Data Input'!$B162="","",'Energy Data Input'!$B162)</f>
        <v/>
      </c>
      <c r="C162" s="102">
        <f>IF('Energy Data Input'!$C162="","",'Energy Data Input'!$C162)</f>
        <v/>
      </c>
      <c r="D162" s="102">
        <f>IF('Energy Data Input'!$D162="","",'Energy Data Input'!$D162)</f>
        <v/>
      </c>
      <c r="E162" s="102">
        <f>IF('Energy Data Input'!$E162="","",'Energy Data Input'!$E162)</f>
        <v/>
      </c>
      <c r="F162" s="102">
        <f>IF('Energy Data Input'!$G162="","",'Energy Data Input'!$G162)</f>
        <v/>
      </c>
      <c r="G162" s="102">
        <f>IF('Energy Data Input'!$H162="","",'Energy Data Input'!$H162)</f>
        <v/>
      </c>
      <c r="H162" s="102">
        <f>IF('Energy Data Input'!$J162="","",'Energy Data Input'!$J162)</f>
        <v/>
      </c>
      <c r="I162" s="142">
        <f>IF('Energy Data Input'!$N162="","",'Energy Data Input'!$N162)</f>
        <v/>
      </c>
      <c r="J162" s="142">
        <f>IF($B162="","",IFERROR(AVERAGEIFS('Energy Data Input'!$N$6:$N$205,'Energy Data Input'!$B$6:$B$205,"&gt;="&amp;$B162-7,'Energy Data Input'!$B$6:$B$205,"&lt;"&amp;$B162,'Energy Data Input'!$H$6:$H$205,$G162,'Energy Data Input'!$J$6:$J$205,$H162),$I162))</f>
        <v/>
      </c>
      <c r="K162" s="143">
        <f>IFERROR(($I162-$J162)/$J162,"")</f>
        <v/>
      </c>
      <c r="L162" s="102">
        <f>IF('Energy Data Input'!$V162="","",'Energy Data Input'!$V162)</f>
        <v/>
      </c>
      <c r="M162" s="102">
        <f>IF($H162="","",IFERROR(VLOOKUP($H162,'Base Settings'!$A$13:$K$19,5,FALSE),0.2))</f>
        <v/>
      </c>
      <c r="N162" s="102">
        <f>IF($B162="","",IF('Energy Data Input'!$L162="","Missing reading",IF($I162=0,"Stalled reading / possibly offline",IF($K162&gt;=IFERROR(VLOOKUP($H162,'Base Settings'!$A$13:$K$19,6,FALSE),0.5),"Severe spike",IF($K162&gt;=$M162,"Usage spike",IF($K162&lt;=-IFERROR(VLOOKUP($H162,'Base Settings'!$A$13:$K$19,7,FALSE),0.3),"Usage drop",IF($L162&gt;IFERROR(VLOOKUP($H162,'Base Settings'!$A$13:$K$19,8,FALSE),999999),"Area intensity overrun","Normal")))))))</f>
        <v/>
      </c>
      <c r="O162" s="102">
        <f>IF($N162="","",IF($N162="Normal","Normal",IF(OR($N162="Severe spike",$K162&gt;=IFERROR(VLOOKUP($H162,'Base Settings'!$A$13:$K$19,6,FALSE),0.5)),"Severe",IF(OR($N162="Usage spike",$N162="Usage drop"),"High","Medium"))))</f>
        <v/>
      </c>
      <c r="P162" s="144">
        <f>IF(OR($N162="",$N162="Normal"),0,ABS($I162-$J162)*'Energy Data Input'!$O162)</f>
        <v/>
      </c>
      <c r="Q162" s="102">
        <f>IF($N162="Normal","",IF($N162="Stalled reading / possibly offline","核查表计通信/Electricity池/网关/阀门Status",IF(AND($H162="Water",$N162&lt;&gt;"Normal"),"检查管网、阀门、卫生间、冷却塔及夜间最小流量",IF(AND($H162="Electricity",$N162&lt;&gt;"Normal"),"检查空调、照明、生产设备、PeakOff-peak时段与待机功耗",IF(AND($H162="Gas",$N162&lt;&gt;"Normal"),"检查燃Gas阀门、锅炉/厨房设备与泄漏风险","核查设备工况、排班、产量与计量数据")))))</f>
        <v/>
      </c>
      <c r="R162" s="102">
        <f>IF($H162="","",IFERROR(VLOOKUP($H162,'Base Settings'!$A$13:$K$19,11,FALSE),"Energy management owner"))</f>
        <v/>
      </c>
      <c r="S162" s="102">
        <f>IF($N162="","",IF($N162="Normal","No action needed","Open"))</f>
        <v/>
      </c>
      <c r="T162" s="141">
        <f>IF(OR($B162="",$N162="Normal"),"",WORKDAY($B162,IF($O162="Severe",1,IF($O162="High",2,3))))</f>
        <v/>
      </c>
      <c r="U162" s="102">
        <f>IF($T162="","",IF(AND($S162&lt;&gt;"Closed",TODAY()&gt;$T162),"Overdue","Not overdue"))</f>
        <v/>
      </c>
      <c r="V162" s="102" t="n"/>
      <c r="W162" s="141" t="n"/>
      <c r="X162" s="102" t="n"/>
    </row>
    <row r="163">
      <c r="A163" s="102">
        <f>IF('Energy Data Input'!$A163="","","AL-"&amp;TEXT(ROW()-5,"0000"))</f>
        <v/>
      </c>
      <c r="B163" s="141">
        <f>IF('Energy Data Input'!$B163="","",'Energy Data Input'!$B163)</f>
        <v/>
      </c>
      <c r="C163" s="102">
        <f>IF('Energy Data Input'!$C163="","",'Energy Data Input'!$C163)</f>
        <v/>
      </c>
      <c r="D163" s="102">
        <f>IF('Energy Data Input'!$D163="","",'Energy Data Input'!$D163)</f>
        <v/>
      </c>
      <c r="E163" s="102">
        <f>IF('Energy Data Input'!$E163="","",'Energy Data Input'!$E163)</f>
        <v/>
      </c>
      <c r="F163" s="102">
        <f>IF('Energy Data Input'!$G163="","",'Energy Data Input'!$G163)</f>
        <v/>
      </c>
      <c r="G163" s="102">
        <f>IF('Energy Data Input'!$H163="","",'Energy Data Input'!$H163)</f>
        <v/>
      </c>
      <c r="H163" s="102">
        <f>IF('Energy Data Input'!$J163="","",'Energy Data Input'!$J163)</f>
        <v/>
      </c>
      <c r="I163" s="142">
        <f>IF('Energy Data Input'!$N163="","",'Energy Data Input'!$N163)</f>
        <v/>
      </c>
      <c r="J163" s="142">
        <f>IF($B163="","",IFERROR(AVERAGEIFS('Energy Data Input'!$N$6:$N$205,'Energy Data Input'!$B$6:$B$205,"&gt;="&amp;$B163-7,'Energy Data Input'!$B$6:$B$205,"&lt;"&amp;$B163,'Energy Data Input'!$H$6:$H$205,$G163,'Energy Data Input'!$J$6:$J$205,$H163),$I163))</f>
        <v/>
      </c>
      <c r="K163" s="143">
        <f>IFERROR(($I163-$J163)/$J163,"")</f>
        <v/>
      </c>
      <c r="L163" s="102">
        <f>IF('Energy Data Input'!$V163="","",'Energy Data Input'!$V163)</f>
        <v/>
      </c>
      <c r="M163" s="102">
        <f>IF($H163="","",IFERROR(VLOOKUP($H163,'Base Settings'!$A$13:$K$19,5,FALSE),0.2))</f>
        <v/>
      </c>
      <c r="N163" s="102">
        <f>IF($B163="","",IF('Energy Data Input'!$L163="","Missing reading",IF($I163=0,"Stalled reading / possibly offline",IF($K163&gt;=IFERROR(VLOOKUP($H163,'Base Settings'!$A$13:$K$19,6,FALSE),0.5),"Severe spike",IF($K163&gt;=$M163,"Usage spike",IF($K163&lt;=-IFERROR(VLOOKUP($H163,'Base Settings'!$A$13:$K$19,7,FALSE),0.3),"Usage drop",IF($L163&gt;IFERROR(VLOOKUP($H163,'Base Settings'!$A$13:$K$19,8,FALSE),999999),"Area intensity overrun","Normal")))))))</f>
        <v/>
      </c>
      <c r="O163" s="102">
        <f>IF($N163="","",IF($N163="Normal","Normal",IF(OR($N163="Severe spike",$K163&gt;=IFERROR(VLOOKUP($H163,'Base Settings'!$A$13:$K$19,6,FALSE),0.5)),"Severe",IF(OR($N163="Usage spike",$N163="Usage drop"),"High","Medium"))))</f>
        <v/>
      </c>
      <c r="P163" s="144">
        <f>IF(OR($N163="",$N163="Normal"),0,ABS($I163-$J163)*'Energy Data Input'!$O163)</f>
        <v/>
      </c>
      <c r="Q163" s="102">
        <f>IF($N163="Normal","",IF($N163="Stalled reading / possibly offline","核查表计通信/Electricity池/网关/阀门Status",IF(AND($H163="Water",$N163&lt;&gt;"Normal"),"检查管网、阀门、卫生间、冷却塔及夜间最小流量",IF(AND($H163="Electricity",$N163&lt;&gt;"Normal"),"检查空调、照明、生产设备、PeakOff-peak时段与待机功耗",IF(AND($H163="Gas",$N163&lt;&gt;"Normal"),"检查燃Gas阀门、锅炉/厨房设备与泄漏风险","核查设备工况、排班、产量与计量数据")))))</f>
        <v/>
      </c>
      <c r="R163" s="102">
        <f>IF($H163="","",IFERROR(VLOOKUP($H163,'Base Settings'!$A$13:$K$19,11,FALSE),"Energy management owner"))</f>
        <v/>
      </c>
      <c r="S163" s="102">
        <f>IF($N163="","",IF($N163="Normal","No action needed","Open"))</f>
        <v/>
      </c>
      <c r="T163" s="141">
        <f>IF(OR($B163="",$N163="Normal"),"",WORKDAY($B163,IF($O163="Severe",1,IF($O163="High",2,3))))</f>
        <v/>
      </c>
      <c r="U163" s="102">
        <f>IF($T163="","",IF(AND($S163&lt;&gt;"Closed",TODAY()&gt;$T163),"Overdue","Not overdue"))</f>
        <v/>
      </c>
      <c r="V163" s="102" t="n"/>
      <c r="W163" s="141" t="n"/>
      <c r="X163" s="102" t="n"/>
    </row>
    <row r="164">
      <c r="A164" s="102">
        <f>IF('Energy Data Input'!$A164="","","AL-"&amp;TEXT(ROW()-5,"0000"))</f>
        <v/>
      </c>
      <c r="B164" s="141">
        <f>IF('Energy Data Input'!$B164="","",'Energy Data Input'!$B164)</f>
        <v/>
      </c>
      <c r="C164" s="102">
        <f>IF('Energy Data Input'!$C164="","",'Energy Data Input'!$C164)</f>
        <v/>
      </c>
      <c r="D164" s="102">
        <f>IF('Energy Data Input'!$D164="","",'Energy Data Input'!$D164)</f>
        <v/>
      </c>
      <c r="E164" s="102">
        <f>IF('Energy Data Input'!$E164="","",'Energy Data Input'!$E164)</f>
        <v/>
      </c>
      <c r="F164" s="102">
        <f>IF('Energy Data Input'!$G164="","",'Energy Data Input'!$G164)</f>
        <v/>
      </c>
      <c r="G164" s="102">
        <f>IF('Energy Data Input'!$H164="","",'Energy Data Input'!$H164)</f>
        <v/>
      </c>
      <c r="H164" s="102">
        <f>IF('Energy Data Input'!$J164="","",'Energy Data Input'!$J164)</f>
        <v/>
      </c>
      <c r="I164" s="142">
        <f>IF('Energy Data Input'!$N164="","",'Energy Data Input'!$N164)</f>
        <v/>
      </c>
      <c r="J164" s="142">
        <f>IF($B164="","",IFERROR(AVERAGEIFS('Energy Data Input'!$N$6:$N$205,'Energy Data Input'!$B$6:$B$205,"&gt;="&amp;$B164-7,'Energy Data Input'!$B$6:$B$205,"&lt;"&amp;$B164,'Energy Data Input'!$H$6:$H$205,$G164,'Energy Data Input'!$J$6:$J$205,$H164),$I164))</f>
        <v/>
      </c>
      <c r="K164" s="143">
        <f>IFERROR(($I164-$J164)/$J164,"")</f>
        <v/>
      </c>
      <c r="L164" s="102">
        <f>IF('Energy Data Input'!$V164="","",'Energy Data Input'!$V164)</f>
        <v/>
      </c>
      <c r="M164" s="102">
        <f>IF($H164="","",IFERROR(VLOOKUP($H164,'Base Settings'!$A$13:$K$19,5,FALSE),0.2))</f>
        <v/>
      </c>
      <c r="N164" s="102">
        <f>IF($B164="","",IF('Energy Data Input'!$L164="","Missing reading",IF($I164=0,"Stalled reading / possibly offline",IF($K164&gt;=IFERROR(VLOOKUP($H164,'Base Settings'!$A$13:$K$19,6,FALSE),0.5),"Severe spike",IF($K164&gt;=$M164,"Usage spike",IF($K164&lt;=-IFERROR(VLOOKUP($H164,'Base Settings'!$A$13:$K$19,7,FALSE),0.3),"Usage drop",IF($L164&gt;IFERROR(VLOOKUP($H164,'Base Settings'!$A$13:$K$19,8,FALSE),999999),"Area intensity overrun","Normal")))))))</f>
        <v/>
      </c>
      <c r="O164" s="102">
        <f>IF($N164="","",IF($N164="Normal","Normal",IF(OR($N164="Severe spike",$K164&gt;=IFERROR(VLOOKUP($H164,'Base Settings'!$A$13:$K$19,6,FALSE),0.5)),"Severe",IF(OR($N164="Usage spike",$N164="Usage drop"),"High","Medium"))))</f>
        <v/>
      </c>
      <c r="P164" s="144">
        <f>IF(OR($N164="",$N164="Normal"),0,ABS($I164-$J164)*'Energy Data Input'!$O164)</f>
        <v/>
      </c>
      <c r="Q164" s="102">
        <f>IF($N164="Normal","",IF($N164="Stalled reading / possibly offline","核查表计通信/Electricity池/网关/阀门Status",IF(AND($H164="Water",$N164&lt;&gt;"Normal"),"检查管网、阀门、卫生间、冷却塔及夜间最小流量",IF(AND($H164="Electricity",$N164&lt;&gt;"Normal"),"检查空调、照明、生产设备、PeakOff-peak时段与待机功耗",IF(AND($H164="Gas",$N164&lt;&gt;"Normal"),"检查燃Gas阀门、锅炉/厨房设备与泄漏风险","核查设备工况、排班、产量与计量数据")))))</f>
        <v/>
      </c>
      <c r="R164" s="102">
        <f>IF($H164="","",IFERROR(VLOOKUP($H164,'Base Settings'!$A$13:$K$19,11,FALSE),"Energy management owner"))</f>
        <v/>
      </c>
      <c r="S164" s="102">
        <f>IF($N164="","",IF($N164="Normal","No action needed","Open"))</f>
        <v/>
      </c>
      <c r="T164" s="141">
        <f>IF(OR($B164="",$N164="Normal"),"",WORKDAY($B164,IF($O164="Severe",1,IF($O164="High",2,3))))</f>
        <v/>
      </c>
      <c r="U164" s="102">
        <f>IF($T164="","",IF(AND($S164&lt;&gt;"Closed",TODAY()&gt;$T164),"Overdue","Not overdue"))</f>
        <v/>
      </c>
      <c r="V164" s="102" t="n"/>
      <c r="W164" s="141" t="n"/>
      <c r="X164" s="102" t="n"/>
    </row>
    <row r="165">
      <c r="A165" s="102">
        <f>IF('Energy Data Input'!$A165="","","AL-"&amp;TEXT(ROW()-5,"0000"))</f>
        <v/>
      </c>
      <c r="B165" s="141">
        <f>IF('Energy Data Input'!$B165="","",'Energy Data Input'!$B165)</f>
        <v/>
      </c>
      <c r="C165" s="102">
        <f>IF('Energy Data Input'!$C165="","",'Energy Data Input'!$C165)</f>
        <v/>
      </c>
      <c r="D165" s="102">
        <f>IF('Energy Data Input'!$D165="","",'Energy Data Input'!$D165)</f>
        <v/>
      </c>
      <c r="E165" s="102">
        <f>IF('Energy Data Input'!$E165="","",'Energy Data Input'!$E165)</f>
        <v/>
      </c>
      <c r="F165" s="102">
        <f>IF('Energy Data Input'!$G165="","",'Energy Data Input'!$G165)</f>
        <v/>
      </c>
      <c r="G165" s="102">
        <f>IF('Energy Data Input'!$H165="","",'Energy Data Input'!$H165)</f>
        <v/>
      </c>
      <c r="H165" s="102">
        <f>IF('Energy Data Input'!$J165="","",'Energy Data Input'!$J165)</f>
        <v/>
      </c>
      <c r="I165" s="142">
        <f>IF('Energy Data Input'!$N165="","",'Energy Data Input'!$N165)</f>
        <v/>
      </c>
      <c r="J165" s="142">
        <f>IF($B165="","",IFERROR(AVERAGEIFS('Energy Data Input'!$N$6:$N$205,'Energy Data Input'!$B$6:$B$205,"&gt;="&amp;$B165-7,'Energy Data Input'!$B$6:$B$205,"&lt;"&amp;$B165,'Energy Data Input'!$H$6:$H$205,$G165,'Energy Data Input'!$J$6:$J$205,$H165),$I165))</f>
        <v/>
      </c>
      <c r="K165" s="143">
        <f>IFERROR(($I165-$J165)/$J165,"")</f>
        <v/>
      </c>
      <c r="L165" s="102">
        <f>IF('Energy Data Input'!$V165="","",'Energy Data Input'!$V165)</f>
        <v/>
      </c>
      <c r="M165" s="102">
        <f>IF($H165="","",IFERROR(VLOOKUP($H165,'Base Settings'!$A$13:$K$19,5,FALSE),0.2))</f>
        <v/>
      </c>
      <c r="N165" s="102">
        <f>IF($B165="","",IF('Energy Data Input'!$L165="","Missing reading",IF($I165=0,"Stalled reading / possibly offline",IF($K165&gt;=IFERROR(VLOOKUP($H165,'Base Settings'!$A$13:$K$19,6,FALSE),0.5),"Severe spike",IF($K165&gt;=$M165,"Usage spike",IF($K165&lt;=-IFERROR(VLOOKUP($H165,'Base Settings'!$A$13:$K$19,7,FALSE),0.3),"Usage drop",IF($L165&gt;IFERROR(VLOOKUP($H165,'Base Settings'!$A$13:$K$19,8,FALSE),999999),"Area intensity overrun","Normal")))))))</f>
        <v/>
      </c>
      <c r="O165" s="102">
        <f>IF($N165="","",IF($N165="Normal","Normal",IF(OR($N165="Severe spike",$K165&gt;=IFERROR(VLOOKUP($H165,'Base Settings'!$A$13:$K$19,6,FALSE),0.5)),"Severe",IF(OR($N165="Usage spike",$N165="Usage drop"),"High","Medium"))))</f>
        <v/>
      </c>
      <c r="P165" s="144">
        <f>IF(OR($N165="",$N165="Normal"),0,ABS($I165-$J165)*'Energy Data Input'!$O165)</f>
        <v/>
      </c>
      <c r="Q165" s="102">
        <f>IF($N165="Normal","",IF($N165="Stalled reading / possibly offline","核查表计通信/Electricity池/网关/阀门Status",IF(AND($H165="Water",$N165&lt;&gt;"Normal"),"检查管网、阀门、卫生间、冷却塔及夜间最小流量",IF(AND($H165="Electricity",$N165&lt;&gt;"Normal"),"检查空调、照明、生产设备、PeakOff-peak时段与待机功耗",IF(AND($H165="Gas",$N165&lt;&gt;"Normal"),"检查燃Gas阀门、锅炉/厨房设备与泄漏风险","核查设备工况、排班、产量与计量数据")))))</f>
        <v/>
      </c>
      <c r="R165" s="102">
        <f>IF($H165="","",IFERROR(VLOOKUP($H165,'Base Settings'!$A$13:$K$19,11,FALSE),"Energy management owner"))</f>
        <v/>
      </c>
      <c r="S165" s="102">
        <f>IF($N165="","",IF($N165="Normal","No action needed","Open"))</f>
        <v/>
      </c>
      <c r="T165" s="141">
        <f>IF(OR($B165="",$N165="Normal"),"",WORKDAY($B165,IF($O165="Severe",1,IF($O165="High",2,3))))</f>
        <v/>
      </c>
      <c r="U165" s="102">
        <f>IF($T165="","",IF(AND($S165&lt;&gt;"Closed",TODAY()&gt;$T165),"Overdue","Not overdue"))</f>
        <v/>
      </c>
      <c r="V165" s="102" t="n"/>
      <c r="W165" s="141" t="n"/>
      <c r="X165" s="102" t="n"/>
    </row>
    <row r="166">
      <c r="A166" s="102">
        <f>IF('Energy Data Input'!$A166="","","AL-"&amp;TEXT(ROW()-5,"0000"))</f>
        <v/>
      </c>
      <c r="B166" s="141">
        <f>IF('Energy Data Input'!$B166="","",'Energy Data Input'!$B166)</f>
        <v/>
      </c>
      <c r="C166" s="102">
        <f>IF('Energy Data Input'!$C166="","",'Energy Data Input'!$C166)</f>
        <v/>
      </c>
      <c r="D166" s="102">
        <f>IF('Energy Data Input'!$D166="","",'Energy Data Input'!$D166)</f>
        <v/>
      </c>
      <c r="E166" s="102">
        <f>IF('Energy Data Input'!$E166="","",'Energy Data Input'!$E166)</f>
        <v/>
      </c>
      <c r="F166" s="102">
        <f>IF('Energy Data Input'!$G166="","",'Energy Data Input'!$G166)</f>
        <v/>
      </c>
      <c r="G166" s="102">
        <f>IF('Energy Data Input'!$H166="","",'Energy Data Input'!$H166)</f>
        <v/>
      </c>
      <c r="H166" s="102">
        <f>IF('Energy Data Input'!$J166="","",'Energy Data Input'!$J166)</f>
        <v/>
      </c>
      <c r="I166" s="142">
        <f>IF('Energy Data Input'!$N166="","",'Energy Data Input'!$N166)</f>
        <v/>
      </c>
      <c r="J166" s="142">
        <f>IF($B166="","",IFERROR(AVERAGEIFS('Energy Data Input'!$N$6:$N$205,'Energy Data Input'!$B$6:$B$205,"&gt;="&amp;$B166-7,'Energy Data Input'!$B$6:$B$205,"&lt;"&amp;$B166,'Energy Data Input'!$H$6:$H$205,$G166,'Energy Data Input'!$J$6:$J$205,$H166),$I166))</f>
        <v/>
      </c>
      <c r="K166" s="143">
        <f>IFERROR(($I166-$J166)/$J166,"")</f>
        <v/>
      </c>
      <c r="L166" s="102">
        <f>IF('Energy Data Input'!$V166="","",'Energy Data Input'!$V166)</f>
        <v/>
      </c>
      <c r="M166" s="102">
        <f>IF($H166="","",IFERROR(VLOOKUP($H166,'Base Settings'!$A$13:$K$19,5,FALSE),0.2))</f>
        <v/>
      </c>
      <c r="N166" s="102">
        <f>IF($B166="","",IF('Energy Data Input'!$L166="","Missing reading",IF($I166=0,"Stalled reading / possibly offline",IF($K166&gt;=IFERROR(VLOOKUP($H166,'Base Settings'!$A$13:$K$19,6,FALSE),0.5),"Severe spike",IF($K166&gt;=$M166,"Usage spike",IF($K166&lt;=-IFERROR(VLOOKUP($H166,'Base Settings'!$A$13:$K$19,7,FALSE),0.3),"Usage drop",IF($L166&gt;IFERROR(VLOOKUP($H166,'Base Settings'!$A$13:$K$19,8,FALSE),999999),"Area intensity overrun","Normal")))))))</f>
        <v/>
      </c>
      <c r="O166" s="102">
        <f>IF($N166="","",IF($N166="Normal","Normal",IF(OR($N166="Severe spike",$K166&gt;=IFERROR(VLOOKUP($H166,'Base Settings'!$A$13:$K$19,6,FALSE),0.5)),"Severe",IF(OR($N166="Usage spike",$N166="Usage drop"),"High","Medium"))))</f>
        <v/>
      </c>
      <c r="P166" s="144">
        <f>IF(OR($N166="",$N166="Normal"),0,ABS($I166-$J166)*'Energy Data Input'!$O166)</f>
        <v/>
      </c>
      <c r="Q166" s="102">
        <f>IF($N166="Normal","",IF($N166="Stalled reading / possibly offline","核查表计通信/Electricity池/网关/阀门Status",IF(AND($H166="Water",$N166&lt;&gt;"Normal"),"检查管网、阀门、卫生间、冷却塔及夜间最小流量",IF(AND($H166="Electricity",$N166&lt;&gt;"Normal"),"检查空调、照明、生产设备、PeakOff-peak时段与待机功耗",IF(AND($H166="Gas",$N166&lt;&gt;"Normal"),"检查燃Gas阀门、锅炉/厨房设备与泄漏风险","核查设备工况、排班、产量与计量数据")))))</f>
        <v/>
      </c>
      <c r="R166" s="102">
        <f>IF($H166="","",IFERROR(VLOOKUP($H166,'Base Settings'!$A$13:$K$19,11,FALSE),"Energy management owner"))</f>
        <v/>
      </c>
      <c r="S166" s="102">
        <f>IF($N166="","",IF($N166="Normal","No action needed","Open"))</f>
        <v/>
      </c>
      <c r="T166" s="141">
        <f>IF(OR($B166="",$N166="Normal"),"",WORKDAY($B166,IF($O166="Severe",1,IF($O166="High",2,3))))</f>
        <v/>
      </c>
      <c r="U166" s="102">
        <f>IF($T166="","",IF(AND($S166&lt;&gt;"Closed",TODAY()&gt;$T166),"Overdue","Not overdue"))</f>
        <v/>
      </c>
      <c r="V166" s="102" t="n"/>
      <c r="W166" s="141" t="n"/>
      <c r="X166" s="102" t="n"/>
    </row>
    <row r="167">
      <c r="A167" s="102">
        <f>IF('Energy Data Input'!$A167="","","AL-"&amp;TEXT(ROW()-5,"0000"))</f>
        <v/>
      </c>
      <c r="B167" s="141">
        <f>IF('Energy Data Input'!$B167="","",'Energy Data Input'!$B167)</f>
        <v/>
      </c>
      <c r="C167" s="102">
        <f>IF('Energy Data Input'!$C167="","",'Energy Data Input'!$C167)</f>
        <v/>
      </c>
      <c r="D167" s="102">
        <f>IF('Energy Data Input'!$D167="","",'Energy Data Input'!$D167)</f>
        <v/>
      </c>
      <c r="E167" s="102">
        <f>IF('Energy Data Input'!$E167="","",'Energy Data Input'!$E167)</f>
        <v/>
      </c>
      <c r="F167" s="102">
        <f>IF('Energy Data Input'!$G167="","",'Energy Data Input'!$G167)</f>
        <v/>
      </c>
      <c r="G167" s="102">
        <f>IF('Energy Data Input'!$H167="","",'Energy Data Input'!$H167)</f>
        <v/>
      </c>
      <c r="H167" s="102">
        <f>IF('Energy Data Input'!$J167="","",'Energy Data Input'!$J167)</f>
        <v/>
      </c>
      <c r="I167" s="142">
        <f>IF('Energy Data Input'!$N167="","",'Energy Data Input'!$N167)</f>
        <v/>
      </c>
      <c r="J167" s="142">
        <f>IF($B167="","",IFERROR(AVERAGEIFS('Energy Data Input'!$N$6:$N$205,'Energy Data Input'!$B$6:$B$205,"&gt;="&amp;$B167-7,'Energy Data Input'!$B$6:$B$205,"&lt;"&amp;$B167,'Energy Data Input'!$H$6:$H$205,$G167,'Energy Data Input'!$J$6:$J$205,$H167),$I167))</f>
        <v/>
      </c>
      <c r="K167" s="143">
        <f>IFERROR(($I167-$J167)/$J167,"")</f>
        <v/>
      </c>
      <c r="L167" s="102">
        <f>IF('Energy Data Input'!$V167="","",'Energy Data Input'!$V167)</f>
        <v/>
      </c>
      <c r="M167" s="102">
        <f>IF($H167="","",IFERROR(VLOOKUP($H167,'Base Settings'!$A$13:$K$19,5,FALSE),0.2))</f>
        <v/>
      </c>
      <c r="N167" s="102">
        <f>IF($B167="","",IF('Energy Data Input'!$L167="","Missing reading",IF($I167=0,"Stalled reading / possibly offline",IF($K167&gt;=IFERROR(VLOOKUP($H167,'Base Settings'!$A$13:$K$19,6,FALSE),0.5),"Severe spike",IF($K167&gt;=$M167,"Usage spike",IF($K167&lt;=-IFERROR(VLOOKUP($H167,'Base Settings'!$A$13:$K$19,7,FALSE),0.3),"Usage drop",IF($L167&gt;IFERROR(VLOOKUP($H167,'Base Settings'!$A$13:$K$19,8,FALSE),999999),"Area intensity overrun","Normal")))))))</f>
        <v/>
      </c>
      <c r="O167" s="102">
        <f>IF($N167="","",IF($N167="Normal","Normal",IF(OR($N167="Severe spike",$K167&gt;=IFERROR(VLOOKUP($H167,'Base Settings'!$A$13:$K$19,6,FALSE),0.5)),"Severe",IF(OR($N167="Usage spike",$N167="Usage drop"),"High","Medium"))))</f>
        <v/>
      </c>
      <c r="P167" s="144">
        <f>IF(OR($N167="",$N167="Normal"),0,ABS($I167-$J167)*'Energy Data Input'!$O167)</f>
        <v/>
      </c>
      <c r="Q167" s="102">
        <f>IF($N167="Normal","",IF($N167="Stalled reading / possibly offline","核查表计通信/Electricity池/网关/阀门Status",IF(AND($H167="Water",$N167&lt;&gt;"Normal"),"检查管网、阀门、卫生间、冷却塔及夜间最小流量",IF(AND($H167="Electricity",$N167&lt;&gt;"Normal"),"检查空调、照明、生产设备、PeakOff-peak时段与待机功耗",IF(AND($H167="Gas",$N167&lt;&gt;"Normal"),"检查燃Gas阀门、锅炉/厨房设备与泄漏风险","核查设备工况、排班、产量与计量数据")))))</f>
        <v/>
      </c>
      <c r="R167" s="102">
        <f>IF($H167="","",IFERROR(VLOOKUP($H167,'Base Settings'!$A$13:$K$19,11,FALSE),"Energy management owner"))</f>
        <v/>
      </c>
      <c r="S167" s="102">
        <f>IF($N167="","",IF($N167="Normal","No action needed","Open"))</f>
        <v/>
      </c>
      <c r="T167" s="141">
        <f>IF(OR($B167="",$N167="Normal"),"",WORKDAY($B167,IF($O167="Severe",1,IF($O167="High",2,3))))</f>
        <v/>
      </c>
      <c r="U167" s="102">
        <f>IF($T167="","",IF(AND($S167&lt;&gt;"Closed",TODAY()&gt;$T167),"Overdue","Not overdue"))</f>
        <v/>
      </c>
      <c r="V167" s="102" t="n"/>
      <c r="W167" s="141" t="n"/>
      <c r="X167" s="102" t="n"/>
    </row>
    <row r="168">
      <c r="A168" s="102">
        <f>IF('Energy Data Input'!$A168="","","AL-"&amp;TEXT(ROW()-5,"0000"))</f>
        <v/>
      </c>
      <c r="B168" s="141">
        <f>IF('Energy Data Input'!$B168="","",'Energy Data Input'!$B168)</f>
        <v/>
      </c>
      <c r="C168" s="102">
        <f>IF('Energy Data Input'!$C168="","",'Energy Data Input'!$C168)</f>
        <v/>
      </c>
      <c r="D168" s="102">
        <f>IF('Energy Data Input'!$D168="","",'Energy Data Input'!$D168)</f>
        <v/>
      </c>
      <c r="E168" s="102">
        <f>IF('Energy Data Input'!$E168="","",'Energy Data Input'!$E168)</f>
        <v/>
      </c>
      <c r="F168" s="102">
        <f>IF('Energy Data Input'!$G168="","",'Energy Data Input'!$G168)</f>
        <v/>
      </c>
      <c r="G168" s="102">
        <f>IF('Energy Data Input'!$H168="","",'Energy Data Input'!$H168)</f>
        <v/>
      </c>
      <c r="H168" s="102">
        <f>IF('Energy Data Input'!$J168="","",'Energy Data Input'!$J168)</f>
        <v/>
      </c>
      <c r="I168" s="142">
        <f>IF('Energy Data Input'!$N168="","",'Energy Data Input'!$N168)</f>
        <v/>
      </c>
      <c r="J168" s="142">
        <f>IF($B168="","",IFERROR(AVERAGEIFS('Energy Data Input'!$N$6:$N$205,'Energy Data Input'!$B$6:$B$205,"&gt;="&amp;$B168-7,'Energy Data Input'!$B$6:$B$205,"&lt;"&amp;$B168,'Energy Data Input'!$H$6:$H$205,$G168,'Energy Data Input'!$J$6:$J$205,$H168),$I168))</f>
        <v/>
      </c>
      <c r="K168" s="143">
        <f>IFERROR(($I168-$J168)/$J168,"")</f>
        <v/>
      </c>
      <c r="L168" s="102">
        <f>IF('Energy Data Input'!$V168="","",'Energy Data Input'!$V168)</f>
        <v/>
      </c>
      <c r="M168" s="102">
        <f>IF($H168="","",IFERROR(VLOOKUP($H168,'Base Settings'!$A$13:$K$19,5,FALSE),0.2))</f>
        <v/>
      </c>
      <c r="N168" s="102">
        <f>IF($B168="","",IF('Energy Data Input'!$L168="","Missing reading",IF($I168=0,"Stalled reading / possibly offline",IF($K168&gt;=IFERROR(VLOOKUP($H168,'Base Settings'!$A$13:$K$19,6,FALSE),0.5),"Severe spike",IF($K168&gt;=$M168,"Usage spike",IF($K168&lt;=-IFERROR(VLOOKUP($H168,'Base Settings'!$A$13:$K$19,7,FALSE),0.3),"Usage drop",IF($L168&gt;IFERROR(VLOOKUP($H168,'Base Settings'!$A$13:$K$19,8,FALSE),999999),"Area intensity overrun","Normal")))))))</f>
        <v/>
      </c>
      <c r="O168" s="102">
        <f>IF($N168="","",IF($N168="Normal","Normal",IF(OR($N168="Severe spike",$K168&gt;=IFERROR(VLOOKUP($H168,'Base Settings'!$A$13:$K$19,6,FALSE),0.5)),"Severe",IF(OR($N168="Usage spike",$N168="Usage drop"),"High","Medium"))))</f>
        <v/>
      </c>
      <c r="P168" s="144">
        <f>IF(OR($N168="",$N168="Normal"),0,ABS($I168-$J168)*'Energy Data Input'!$O168)</f>
        <v/>
      </c>
      <c r="Q168" s="102">
        <f>IF($N168="Normal","",IF($N168="Stalled reading / possibly offline","核查表计通信/Electricity池/网关/阀门Status",IF(AND($H168="Water",$N168&lt;&gt;"Normal"),"检查管网、阀门、卫生间、冷却塔及夜间最小流量",IF(AND($H168="Electricity",$N168&lt;&gt;"Normal"),"检查空调、照明、生产设备、PeakOff-peak时段与待机功耗",IF(AND($H168="Gas",$N168&lt;&gt;"Normal"),"检查燃Gas阀门、锅炉/厨房设备与泄漏风险","核查设备工况、排班、产量与计量数据")))))</f>
        <v/>
      </c>
      <c r="R168" s="102">
        <f>IF($H168="","",IFERROR(VLOOKUP($H168,'Base Settings'!$A$13:$K$19,11,FALSE),"Energy management owner"))</f>
        <v/>
      </c>
      <c r="S168" s="102">
        <f>IF($N168="","",IF($N168="Normal","No action needed","Open"))</f>
        <v/>
      </c>
      <c r="T168" s="141">
        <f>IF(OR($B168="",$N168="Normal"),"",WORKDAY($B168,IF($O168="Severe",1,IF($O168="High",2,3))))</f>
        <v/>
      </c>
      <c r="U168" s="102">
        <f>IF($T168="","",IF(AND($S168&lt;&gt;"Closed",TODAY()&gt;$T168),"Overdue","Not overdue"))</f>
        <v/>
      </c>
      <c r="V168" s="102" t="n"/>
      <c r="W168" s="141" t="n"/>
      <c r="X168" s="102" t="n"/>
    </row>
    <row r="169">
      <c r="A169" s="102">
        <f>IF('Energy Data Input'!$A169="","","AL-"&amp;TEXT(ROW()-5,"0000"))</f>
        <v/>
      </c>
      <c r="B169" s="141">
        <f>IF('Energy Data Input'!$B169="","",'Energy Data Input'!$B169)</f>
        <v/>
      </c>
      <c r="C169" s="102">
        <f>IF('Energy Data Input'!$C169="","",'Energy Data Input'!$C169)</f>
        <v/>
      </c>
      <c r="D169" s="102">
        <f>IF('Energy Data Input'!$D169="","",'Energy Data Input'!$D169)</f>
        <v/>
      </c>
      <c r="E169" s="102">
        <f>IF('Energy Data Input'!$E169="","",'Energy Data Input'!$E169)</f>
        <v/>
      </c>
      <c r="F169" s="102">
        <f>IF('Energy Data Input'!$G169="","",'Energy Data Input'!$G169)</f>
        <v/>
      </c>
      <c r="G169" s="102">
        <f>IF('Energy Data Input'!$H169="","",'Energy Data Input'!$H169)</f>
        <v/>
      </c>
      <c r="H169" s="102">
        <f>IF('Energy Data Input'!$J169="","",'Energy Data Input'!$J169)</f>
        <v/>
      </c>
      <c r="I169" s="142">
        <f>IF('Energy Data Input'!$N169="","",'Energy Data Input'!$N169)</f>
        <v/>
      </c>
      <c r="J169" s="142">
        <f>IF($B169="","",IFERROR(AVERAGEIFS('Energy Data Input'!$N$6:$N$205,'Energy Data Input'!$B$6:$B$205,"&gt;="&amp;$B169-7,'Energy Data Input'!$B$6:$B$205,"&lt;"&amp;$B169,'Energy Data Input'!$H$6:$H$205,$G169,'Energy Data Input'!$J$6:$J$205,$H169),$I169))</f>
        <v/>
      </c>
      <c r="K169" s="143">
        <f>IFERROR(($I169-$J169)/$J169,"")</f>
        <v/>
      </c>
      <c r="L169" s="102">
        <f>IF('Energy Data Input'!$V169="","",'Energy Data Input'!$V169)</f>
        <v/>
      </c>
      <c r="M169" s="102">
        <f>IF($H169="","",IFERROR(VLOOKUP($H169,'Base Settings'!$A$13:$K$19,5,FALSE),0.2))</f>
        <v/>
      </c>
      <c r="N169" s="102">
        <f>IF($B169="","",IF('Energy Data Input'!$L169="","Missing reading",IF($I169=0,"Stalled reading / possibly offline",IF($K169&gt;=IFERROR(VLOOKUP($H169,'Base Settings'!$A$13:$K$19,6,FALSE),0.5),"Severe spike",IF($K169&gt;=$M169,"Usage spike",IF($K169&lt;=-IFERROR(VLOOKUP($H169,'Base Settings'!$A$13:$K$19,7,FALSE),0.3),"Usage drop",IF($L169&gt;IFERROR(VLOOKUP($H169,'Base Settings'!$A$13:$K$19,8,FALSE),999999),"Area intensity overrun","Normal")))))))</f>
        <v/>
      </c>
      <c r="O169" s="102">
        <f>IF($N169="","",IF($N169="Normal","Normal",IF(OR($N169="Severe spike",$K169&gt;=IFERROR(VLOOKUP($H169,'Base Settings'!$A$13:$K$19,6,FALSE),0.5)),"Severe",IF(OR($N169="Usage spike",$N169="Usage drop"),"High","Medium"))))</f>
        <v/>
      </c>
      <c r="P169" s="144">
        <f>IF(OR($N169="",$N169="Normal"),0,ABS($I169-$J169)*'Energy Data Input'!$O169)</f>
        <v/>
      </c>
      <c r="Q169" s="102">
        <f>IF($N169="Normal","",IF($N169="Stalled reading / possibly offline","核查表计通信/Electricity池/网关/阀门Status",IF(AND($H169="Water",$N169&lt;&gt;"Normal"),"检查管网、阀门、卫生间、冷却塔及夜间最小流量",IF(AND($H169="Electricity",$N169&lt;&gt;"Normal"),"检查空调、照明、生产设备、PeakOff-peak时段与待机功耗",IF(AND($H169="Gas",$N169&lt;&gt;"Normal"),"检查燃Gas阀门、锅炉/厨房设备与泄漏风险","核查设备工况、排班、产量与计量数据")))))</f>
        <v/>
      </c>
      <c r="R169" s="102">
        <f>IF($H169="","",IFERROR(VLOOKUP($H169,'Base Settings'!$A$13:$K$19,11,FALSE),"Energy management owner"))</f>
        <v/>
      </c>
      <c r="S169" s="102">
        <f>IF($N169="","",IF($N169="Normal","No action needed","Open"))</f>
        <v/>
      </c>
      <c r="T169" s="141">
        <f>IF(OR($B169="",$N169="Normal"),"",WORKDAY($B169,IF($O169="Severe",1,IF($O169="High",2,3))))</f>
        <v/>
      </c>
      <c r="U169" s="102">
        <f>IF($T169="","",IF(AND($S169&lt;&gt;"Closed",TODAY()&gt;$T169),"Overdue","Not overdue"))</f>
        <v/>
      </c>
      <c r="V169" s="102" t="n"/>
      <c r="W169" s="141" t="n"/>
      <c r="X169" s="102" t="n"/>
    </row>
    <row r="170">
      <c r="A170" s="102">
        <f>IF('Energy Data Input'!$A170="","","AL-"&amp;TEXT(ROW()-5,"0000"))</f>
        <v/>
      </c>
      <c r="B170" s="141">
        <f>IF('Energy Data Input'!$B170="","",'Energy Data Input'!$B170)</f>
        <v/>
      </c>
      <c r="C170" s="102">
        <f>IF('Energy Data Input'!$C170="","",'Energy Data Input'!$C170)</f>
        <v/>
      </c>
      <c r="D170" s="102">
        <f>IF('Energy Data Input'!$D170="","",'Energy Data Input'!$D170)</f>
        <v/>
      </c>
      <c r="E170" s="102">
        <f>IF('Energy Data Input'!$E170="","",'Energy Data Input'!$E170)</f>
        <v/>
      </c>
      <c r="F170" s="102">
        <f>IF('Energy Data Input'!$G170="","",'Energy Data Input'!$G170)</f>
        <v/>
      </c>
      <c r="G170" s="102">
        <f>IF('Energy Data Input'!$H170="","",'Energy Data Input'!$H170)</f>
        <v/>
      </c>
      <c r="H170" s="102">
        <f>IF('Energy Data Input'!$J170="","",'Energy Data Input'!$J170)</f>
        <v/>
      </c>
      <c r="I170" s="142">
        <f>IF('Energy Data Input'!$N170="","",'Energy Data Input'!$N170)</f>
        <v/>
      </c>
      <c r="J170" s="142">
        <f>IF($B170="","",IFERROR(AVERAGEIFS('Energy Data Input'!$N$6:$N$205,'Energy Data Input'!$B$6:$B$205,"&gt;="&amp;$B170-7,'Energy Data Input'!$B$6:$B$205,"&lt;"&amp;$B170,'Energy Data Input'!$H$6:$H$205,$G170,'Energy Data Input'!$J$6:$J$205,$H170),$I170))</f>
        <v/>
      </c>
      <c r="K170" s="143">
        <f>IFERROR(($I170-$J170)/$J170,"")</f>
        <v/>
      </c>
      <c r="L170" s="102">
        <f>IF('Energy Data Input'!$V170="","",'Energy Data Input'!$V170)</f>
        <v/>
      </c>
      <c r="M170" s="102">
        <f>IF($H170="","",IFERROR(VLOOKUP($H170,'Base Settings'!$A$13:$K$19,5,FALSE),0.2))</f>
        <v/>
      </c>
      <c r="N170" s="102">
        <f>IF($B170="","",IF('Energy Data Input'!$L170="","Missing reading",IF($I170=0,"Stalled reading / possibly offline",IF($K170&gt;=IFERROR(VLOOKUP($H170,'Base Settings'!$A$13:$K$19,6,FALSE),0.5),"Severe spike",IF($K170&gt;=$M170,"Usage spike",IF($K170&lt;=-IFERROR(VLOOKUP($H170,'Base Settings'!$A$13:$K$19,7,FALSE),0.3),"Usage drop",IF($L170&gt;IFERROR(VLOOKUP($H170,'Base Settings'!$A$13:$K$19,8,FALSE),999999),"Area intensity overrun","Normal")))))))</f>
        <v/>
      </c>
      <c r="O170" s="102">
        <f>IF($N170="","",IF($N170="Normal","Normal",IF(OR($N170="Severe spike",$K170&gt;=IFERROR(VLOOKUP($H170,'Base Settings'!$A$13:$K$19,6,FALSE),0.5)),"Severe",IF(OR($N170="Usage spike",$N170="Usage drop"),"High","Medium"))))</f>
        <v/>
      </c>
      <c r="P170" s="144">
        <f>IF(OR($N170="",$N170="Normal"),0,ABS($I170-$J170)*'Energy Data Input'!$O170)</f>
        <v/>
      </c>
      <c r="Q170" s="102">
        <f>IF($N170="Normal","",IF($N170="Stalled reading / possibly offline","核查表计通信/Electricity池/网关/阀门Status",IF(AND($H170="Water",$N170&lt;&gt;"Normal"),"检查管网、阀门、卫生间、冷却塔及夜间最小流量",IF(AND($H170="Electricity",$N170&lt;&gt;"Normal"),"检查空调、照明、生产设备、PeakOff-peak时段与待机功耗",IF(AND($H170="Gas",$N170&lt;&gt;"Normal"),"检查燃Gas阀门、锅炉/厨房设备与泄漏风险","核查设备工况、排班、产量与计量数据")))))</f>
        <v/>
      </c>
      <c r="R170" s="102">
        <f>IF($H170="","",IFERROR(VLOOKUP($H170,'Base Settings'!$A$13:$K$19,11,FALSE),"Energy management owner"))</f>
        <v/>
      </c>
      <c r="S170" s="102">
        <f>IF($N170="","",IF($N170="Normal","No action needed","Open"))</f>
        <v/>
      </c>
      <c r="T170" s="141">
        <f>IF(OR($B170="",$N170="Normal"),"",WORKDAY($B170,IF($O170="Severe",1,IF($O170="High",2,3))))</f>
        <v/>
      </c>
      <c r="U170" s="102">
        <f>IF($T170="","",IF(AND($S170&lt;&gt;"Closed",TODAY()&gt;$T170),"Overdue","Not overdue"))</f>
        <v/>
      </c>
      <c r="V170" s="102" t="n"/>
      <c r="W170" s="141" t="n"/>
      <c r="X170" s="102" t="n"/>
    </row>
    <row r="171">
      <c r="A171" s="102">
        <f>IF('Energy Data Input'!$A171="","","AL-"&amp;TEXT(ROW()-5,"0000"))</f>
        <v/>
      </c>
      <c r="B171" s="141">
        <f>IF('Energy Data Input'!$B171="","",'Energy Data Input'!$B171)</f>
        <v/>
      </c>
      <c r="C171" s="102">
        <f>IF('Energy Data Input'!$C171="","",'Energy Data Input'!$C171)</f>
        <v/>
      </c>
      <c r="D171" s="102">
        <f>IF('Energy Data Input'!$D171="","",'Energy Data Input'!$D171)</f>
        <v/>
      </c>
      <c r="E171" s="102">
        <f>IF('Energy Data Input'!$E171="","",'Energy Data Input'!$E171)</f>
        <v/>
      </c>
      <c r="F171" s="102">
        <f>IF('Energy Data Input'!$G171="","",'Energy Data Input'!$G171)</f>
        <v/>
      </c>
      <c r="G171" s="102">
        <f>IF('Energy Data Input'!$H171="","",'Energy Data Input'!$H171)</f>
        <v/>
      </c>
      <c r="H171" s="102">
        <f>IF('Energy Data Input'!$J171="","",'Energy Data Input'!$J171)</f>
        <v/>
      </c>
      <c r="I171" s="142">
        <f>IF('Energy Data Input'!$N171="","",'Energy Data Input'!$N171)</f>
        <v/>
      </c>
      <c r="J171" s="142">
        <f>IF($B171="","",IFERROR(AVERAGEIFS('Energy Data Input'!$N$6:$N$205,'Energy Data Input'!$B$6:$B$205,"&gt;="&amp;$B171-7,'Energy Data Input'!$B$6:$B$205,"&lt;"&amp;$B171,'Energy Data Input'!$H$6:$H$205,$G171,'Energy Data Input'!$J$6:$J$205,$H171),$I171))</f>
        <v/>
      </c>
      <c r="K171" s="143">
        <f>IFERROR(($I171-$J171)/$J171,"")</f>
        <v/>
      </c>
      <c r="L171" s="102">
        <f>IF('Energy Data Input'!$V171="","",'Energy Data Input'!$V171)</f>
        <v/>
      </c>
      <c r="M171" s="102">
        <f>IF($H171="","",IFERROR(VLOOKUP($H171,'Base Settings'!$A$13:$K$19,5,FALSE),0.2))</f>
        <v/>
      </c>
      <c r="N171" s="102">
        <f>IF($B171="","",IF('Energy Data Input'!$L171="","Missing reading",IF($I171=0,"Stalled reading / possibly offline",IF($K171&gt;=IFERROR(VLOOKUP($H171,'Base Settings'!$A$13:$K$19,6,FALSE),0.5),"Severe spike",IF($K171&gt;=$M171,"Usage spike",IF($K171&lt;=-IFERROR(VLOOKUP($H171,'Base Settings'!$A$13:$K$19,7,FALSE),0.3),"Usage drop",IF($L171&gt;IFERROR(VLOOKUP($H171,'Base Settings'!$A$13:$K$19,8,FALSE),999999),"Area intensity overrun","Normal")))))))</f>
        <v/>
      </c>
      <c r="O171" s="102">
        <f>IF($N171="","",IF($N171="Normal","Normal",IF(OR($N171="Severe spike",$K171&gt;=IFERROR(VLOOKUP($H171,'Base Settings'!$A$13:$K$19,6,FALSE),0.5)),"Severe",IF(OR($N171="Usage spike",$N171="Usage drop"),"High","Medium"))))</f>
        <v/>
      </c>
      <c r="P171" s="144">
        <f>IF(OR($N171="",$N171="Normal"),0,ABS($I171-$J171)*'Energy Data Input'!$O171)</f>
        <v/>
      </c>
      <c r="Q171" s="102">
        <f>IF($N171="Normal","",IF($N171="Stalled reading / possibly offline","核查表计通信/Electricity池/网关/阀门Status",IF(AND($H171="Water",$N171&lt;&gt;"Normal"),"检查管网、阀门、卫生间、冷却塔及夜间最小流量",IF(AND($H171="Electricity",$N171&lt;&gt;"Normal"),"检查空调、照明、生产设备、PeakOff-peak时段与待机功耗",IF(AND($H171="Gas",$N171&lt;&gt;"Normal"),"检查燃Gas阀门、锅炉/厨房设备与泄漏风险","核查设备工况、排班、产量与计量数据")))))</f>
        <v/>
      </c>
      <c r="R171" s="102">
        <f>IF($H171="","",IFERROR(VLOOKUP($H171,'Base Settings'!$A$13:$K$19,11,FALSE),"Energy management owner"))</f>
        <v/>
      </c>
      <c r="S171" s="102">
        <f>IF($N171="","",IF($N171="Normal","No action needed","Open"))</f>
        <v/>
      </c>
      <c r="T171" s="141">
        <f>IF(OR($B171="",$N171="Normal"),"",WORKDAY($B171,IF($O171="Severe",1,IF($O171="High",2,3))))</f>
        <v/>
      </c>
      <c r="U171" s="102">
        <f>IF($T171="","",IF(AND($S171&lt;&gt;"Closed",TODAY()&gt;$T171),"Overdue","Not overdue"))</f>
        <v/>
      </c>
      <c r="V171" s="102" t="n"/>
      <c r="W171" s="141" t="n"/>
      <c r="X171" s="102" t="n"/>
    </row>
    <row r="172">
      <c r="A172" s="102">
        <f>IF('Energy Data Input'!$A172="","","AL-"&amp;TEXT(ROW()-5,"0000"))</f>
        <v/>
      </c>
      <c r="B172" s="141">
        <f>IF('Energy Data Input'!$B172="","",'Energy Data Input'!$B172)</f>
        <v/>
      </c>
      <c r="C172" s="102">
        <f>IF('Energy Data Input'!$C172="","",'Energy Data Input'!$C172)</f>
        <v/>
      </c>
      <c r="D172" s="102">
        <f>IF('Energy Data Input'!$D172="","",'Energy Data Input'!$D172)</f>
        <v/>
      </c>
      <c r="E172" s="102">
        <f>IF('Energy Data Input'!$E172="","",'Energy Data Input'!$E172)</f>
        <v/>
      </c>
      <c r="F172" s="102">
        <f>IF('Energy Data Input'!$G172="","",'Energy Data Input'!$G172)</f>
        <v/>
      </c>
      <c r="G172" s="102">
        <f>IF('Energy Data Input'!$H172="","",'Energy Data Input'!$H172)</f>
        <v/>
      </c>
      <c r="H172" s="102">
        <f>IF('Energy Data Input'!$J172="","",'Energy Data Input'!$J172)</f>
        <v/>
      </c>
      <c r="I172" s="142">
        <f>IF('Energy Data Input'!$N172="","",'Energy Data Input'!$N172)</f>
        <v/>
      </c>
      <c r="J172" s="142">
        <f>IF($B172="","",IFERROR(AVERAGEIFS('Energy Data Input'!$N$6:$N$205,'Energy Data Input'!$B$6:$B$205,"&gt;="&amp;$B172-7,'Energy Data Input'!$B$6:$B$205,"&lt;"&amp;$B172,'Energy Data Input'!$H$6:$H$205,$G172,'Energy Data Input'!$J$6:$J$205,$H172),$I172))</f>
        <v/>
      </c>
      <c r="K172" s="143">
        <f>IFERROR(($I172-$J172)/$J172,"")</f>
        <v/>
      </c>
      <c r="L172" s="102">
        <f>IF('Energy Data Input'!$V172="","",'Energy Data Input'!$V172)</f>
        <v/>
      </c>
      <c r="M172" s="102">
        <f>IF($H172="","",IFERROR(VLOOKUP($H172,'Base Settings'!$A$13:$K$19,5,FALSE),0.2))</f>
        <v/>
      </c>
      <c r="N172" s="102">
        <f>IF($B172="","",IF('Energy Data Input'!$L172="","Missing reading",IF($I172=0,"Stalled reading / possibly offline",IF($K172&gt;=IFERROR(VLOOKUP($H172,'Base Settings'!$A$13:$K$19,6,FALSE),0.5),"Severe spike",IF($K172&gt;=$M172,"Usage spike",IF($K172&lt;=-IFERROR(VLOOKUP($H172,'Base Settings'!$A$13:$K$19,7,FALSE),0.3),"Usage drop",IF($L172&gt;IFERROR(VLOOKUP($H172,'Base Settings'!$A$13:$K$19,8,FALSE),999999),"Area intensity overrun","Normal")))))))</f>
        <v/>
      </c>
      <c r="O172" s="102">
        <f>IF($N172="","",IF($N172="Normal","Normal",IF(OR($N172="Severe spike",$K172&gt;=IFERROR(VLOOKUP($H172,'Base Settings'!$A$13:$K$19,6,FALSE),0.5)),"Severe",IF(OR($N172="Usage spike",$N172="Usage drop"),"High","Medium"))))</f>
        <v/>
      </c>
      <c r="P172" s="144">
        <f>IF(OR($N172="",$N172="Normal"),0,ABS($I172-$J172)*'Energy Data Input'!$O172)</f>
        <v/>
      </c>
      <c r="Q172" s="102">
        <f>IF($N172="Normal","",IF($N172="Stalled reading / possibly offline","核查表计通信/Electricity池/网关/阀门Status",IF(AND($H172="Water",$N172&lt;&gt;"Normal"),"检查管网、阀门、卫生间、冷却塔及夜间最小流量",IF(AND($H172="Electricity",$N172&lt;&gt;"Normal"),"检查空调、照明、生产设备、PeakOff-peak时段与待机功耗",IF(AND($H172="Gas",$N172&lt;&gt;"Normal"),"检查燃Gas阀门、锅炉/厨房设备与泄漏风险","核查设备工况、排班、产量与计量数据")))))</f>
        <v/>
      </c>
      <c r="R172" s="102">
        <f>IF($H172="","",IFERROR(VLOOKUP($H172,'Base Settings'!$A$13:$K$19,11,FALSE),"Energy management owner"))</f>
        <v/>
      </c>
      <c r="S172" s="102">
        <f>IF($N172="","",IF($N172="Normal","No action needed","Open"))</f>
        <v/>
      </c>
      <c r="T172" s="141">
        <f>IF(OR($B172="",$N172="Normal"),"",WORKDAY($B172,IF($O172="Severe",1,IF($O172="High",2,3))))</f>
        <v/>
      </c>
      <c r="U172" s="102">
        <f>IF($T172="","",IF(AND($S172&lt;&gt;"Closed",TODAY()&gt;$T172),"Overdue","Not overdue"))</f>
        <v/>
      </c>
      <c r="V172" s="102" t="n"/>
      <c r="W172" s="141" t="n"/>
      <c r="X172" s="102" t="n"/>
    </row>
    <row r="173">
      <c r="A173" s="102">
        <f>IF('Energy Data Input'!$A173="","","AL-"&amp;TEXT(ROW()-5,"0000"))</f>
        <v/>
      </c>
      <c r="B173" s="141">
        <f>IF('Energy Data Input'!$B173="","",'Energy Data Input'!$B173)</f>
        <v/>
      </c>
      <c r="C173" s="102">
        <f>IF('Energy Data Input'!$C173="","",'Energy Data Input'!$C173)</f>
        <v/>
      </c>
      <c r="D173" s="102">
        <f>IF('Energy Data Input'!$D173="","",'Energy Data Input'!$D173)</f>
        <v/>
      </c>
      <c r="E173" s="102">
        <f>IF('Energy Data Input'!$E173="","",'Energy Data Input'!$E173)</f>
        <v/>
      </c>
      <c r="F173" s="102">
        <f>IF('Energy Data Input'!$G173="","",'Energy Data Input'!$G173)</f>
        <v/>
      </c>
      <c r="G173" s="102">
        <f>IF('Energy Data Input'!$H173="","",'Energy Data Input'!$H173)</f>
        <v/>
      </c>
      <c r="H173" s="102">
        <f>IF('Energy Data Input'!$J173="","",'Energy Data Input'!$J173)</f>
        <v/>
      </c>
      <c r="I173" s="142">
        <f>IF('Energy Data Input'!$N173="","",'Energy Data Input'!$N173)</f>
        <v/>
      </c>
      <c r="J173" s="142">
        <f>IF($B173="","",IFERROR(AVERAGEIFS('Energy Data Input'!$N$6:$N$205,'Energy Data Input'!$B$6:$B$205,"&gt;="&amp;$B173-7,'Energy Data Input'!$B$6:$B$205,"&lt;"&amp;$B173,'Energy Data Input'!$H$6:$H$205,$G173,'Energy Data Input'!$J$6:$J$205,$H173),$I173))</f>
        <v/>
      </c>
      <c r="K173" s="143">
        <f>IFERROR(($I173-$J173)/$J173,"")</f>
        <v/>
      </c>
      <c r="L173" s="102">
        <f>IF('Energy Data Input'!$V173="","",'Energy Data Input'!$V173)</f>
        <v/>
      </c>
      <c r="M173" s="102">
        <f>IF($H173="","",IFERROR(VLOOKUP($H173,'Base Settings'!$A$13:$K$19,5,FALSE),0.2))</f>
        <v/>
      </c>
      <c r="N173" s="102">
        <f>IF($B173="","",IF('Energy Data Input'!$L173="","Missing reading",IF($I173=0,"Stalled reading / possibly offline",IF($K173&gt;=IFERROR(VLOOKUP($H173,'Base Settings'!$A$13:$K$19,6,FALSE),0.5),"Severe spike",IF($K173&gt;=$M173,"Usage spike",IF($K173&lt;=-IFERROR(VLOOKUP($H173,'Base Settings'!$A$13:$K$19,7,FALSE),0.3),"Usage drop",IF($L173&gt;IFERROR(VLOOKUP($H173,'Base Settings'!$A$13:$K$19,8,FALSE),999999),"Area intensity overrun","Normal")))))))</f>
        <v/>
      </c>
      <c r="O173" s="102">
        <f>IF($N173="","",IF($N173="Normal","Normal",IF(OR($N173="Severe spike",$K173&gt;=IFERROR(VLOOKUP($H173,'Base Settings'!$A$13:$K$19,6,FALSE),0.5)),"Severe",IF(OR($N173="Usage spike",$N173="Usage drop"),"High","Medium"))))</f>
        <v/>
      </c>
      <c r="P173" s="144">
        <f>IF(OR($N173="",$N173="Normal"),0,ABS($I173-$J173)*'Energy Data Input'!$O173)</f>
        <v/>
      </c>
      <c r="Q173" s="102">
        <f>IF($N173="Normal","",IF($N173="Stalled reading / possibly offline","核查表计通信/Electricity池/网关/阀门Status",IF(AND($H173="Water",$N173&lt;&gt;"Normal"),"检查管网、阀门、卫生间、冷却塔及夜间最小流量",IF(AND($H173="Electricity",$N173&lt;&gt;"Normal"),"检查空调、照明、生产设备、PeakOff-peak时段与待机功耗",IF(AND($H173="Gas",$N173&lt;&gt;"Normal"),"检查燃Gas阀门、锅炉/厨房设备与泄漏风险","核查设备工况、排班、产量与计量数据")))))</f>
        <v/>
      </c>
      <c r="R173" s="102">
        <f>IF($H173="","",IFERROR(VLOOKUP($H173,'Base Settings'!$A$13:$K$19,11,FALSE),"Energy management owner"))</f>
        <v/>
      </c>
      <c r="S173" s="102">
        <f>IF($N173="","",IF($N173="Normal","No action needed","Open"))</f>
        <v/>
      </c>
      <c r="T173" s="141">
        <f>IF(OR($B173="",$N173="Normal"),"",WORKDAY($B173,IF($O173="Severe",1,IF($O173="High",2,3))))</f>
        <v/>
      </c>
      <c r="U173" s="102">
        <f>IF($T173="","",IF(AND($S173&lt;&gt;"Closed",TODAY()&gt;$T173),"Overdue","Not overdue"))</f>
        <v/>
      </c>
      <c r="V173" s="102" t="n"/>
      <c r="W173" s="141" t="n"/>
      <c r="X173" s="102" t="n"/>
    </row>
    <row r="174">
      <c r="A174" s="102">
        <f>IF('Energy Data Input'!$A174="","","AL-"&amp;TEXT(ROW()-5,"0000"))</f>
        <v/>
      </c>
      <c r="B174" s="141">
        <f>IF('Energy Data Input'!$B174="","",'Energy Data Input'!$B174)</f>
        <v/>
      </c>
      <c r="C174" s="102">
        <f>IF('Energy Data Input'!$C174="","",'Energy Data Input'!$C174)</f>
        <v/>
      </c>
      <c r="D174" s="102">
        <f>IF('Energy Data Input'!$D174="","",'Energy Data Input'!$D174)</f>
        <v/>
      </c>
      <c r="E174" s="102">
        <f>IF('Energy Data Input'!$E174="","",'Energy Data Input'!$E174)</f>
        <v/>
      </c>
      <c r="F174" s="102">
        <f>IF('Energy Data Input'!$G174="","",'Energy Data Input'!$G174)</f>
        <v/>
      </c>
      <c r="G174" s="102">
        <f>IF('Energy Data Input'!$H174="","",'Energy Data Input'!$H174)</f>
        <v/>
      </c>
      <c r="H174" s="102">
        <f>IF('Energy Data Input'!$J174="","",'Energy Data Input'!$J174)</f>
        <v/>
      </c>
      <c r="I174" s="142">
        <f>IF('Energy Data Input'!$N174="","",'Energy Data Input'!$N174)</f>
        <v/>
      </c>
      <c r="J174" s="142">
        <f>IF($B174="","",IFERROR(AVERAGEIFS('Energy Data Input'!$N$6:$N$205,'Energy Data Input'!$B$6:$B$205,"&gt;="&amp;$B174-7,'Energy Data Input'!$B$6:$B$205,"&lt;"&amp;$B174,'Energy Data Input'!$H$6:$H$205,$G174,'Energy Data Input'!$J$6:$J$205,$H174),$I174))</f>
        <v/>
      </c>
      <c r="K174" s="143">
        <f>IFERROR(($I174-$J174)/$J174,"")</f>
        <v/>
      </c>
      <c r="L174" s="102">
        <f>IF('Energy Data Input'!$V174="","",'Energy Data Input'!$V174)</f>
        <v/>
      </c>
      <c r="M174" s="102">
        <f>IF($H174="","",IFERROR(VLOOKUP($H174,'Base Settings'!$A$13:$K$19,5,FALSE),0.2))</f>
        <v/>
      </c>
      <c r="N174" s="102">
        <f>IF($B174="","",IF('Energy Data Input'!$L174="","Missing reading",IF($I174=0,"Stalled reading / possibly offline",IF($K174&gt;=IFERROR(VLOOKUP($H174,'Base Settings'!$A$13:$K$19,6,FALSE),0.5),"Severe spike",IF($K174&gt;=$M174,"Usage spike",IF($K174&lt;=-IFERROR(VLOOKUP($H174,'Base Settings'!$A$13:$K$19,7,FALSE),0.3),"Usage drop",IF($L174&gt;IFERROR(VLOOKUP($H174,'Base Settings'!$A$13:$K$19,8,FALSE),999999),"Area intensity overrun","Normal")))))))</f>
        <v/>
      </c>
      <c r="O174" s="102">
        <f>IF($N174="","",IF($N174="Normal","Normal",IF(OR($N174="Severe spike",$K174&gt;=IFERROR(VLOOKUP($H174,'Base Settings'!$A$13:$K$19,6,FALSE),0.5)),"Severe",IF(OR($N174="Usage spike",$N174="Usage drop"),"High","Medium"))))</f>
        <v/>
      </c>
      <c r="P174" s="144">
        <f>IF(OR($N174="",$N174="Normal"),0,ABS($I174-$J174)*'Energy Data Input'!$O174)</f>
        <v/>
      </c>
      <c r="Q174" s="102">
        <f>IF($N174="Normal","",IF($N174="Stalled reading / possibly offline","核查表计通信/Electricity池/网关/阀门Status",IF(AND($H174="Water",$N174&lt;&gt;"Normal"),"检查管网、阀门、卫生间、冷却塔及夜间最小流量",IF(AND($H174="Electricity",$N174&lt;&gt;"Normal"),"检查空调、照明、生产设备、PeakOff-peak时段与待机功耗",IF(AND($H174="Gas",$N174&lt;&gt;"Normal"),"检查燃Gas阀门、锅炉/厨房设备与泄漏风险","核查设备工况、排班、产量与计量数据")))))</f>
        <v/>
      </c>
      <c r="R174" s="102">
        <f>IF($H174="","",IFERROR(VLOOKUP($H174,'Base Settings'!$A$13:$K$19,11,FALSE),"Energy management owner"))</f>
        <v/>
      </c>
      <c r="S174" s="102">
        <f>IF($N174="","",IF($N174="Normal","No action needed","Open"))</f>
        <v/>
      </c>
      <c r="T174" s="141">
        <f>IF(OR($B174="",$N174="Normal"),"",WORKDAY($B174,IF($O174="Severe",1,IF($O174="High",2,3))))</f>
        <v/>
      </c>
      <c r="U174" s="102">
        <f>IF($T174="","",IF(AND($S174&lt;&gt;"Closed",TODAY()&gt;$T174),"Overdue","Not overdue"))</f>
        <v/>
      </c>
      <c r="V174" s="102" t="n"/>
      <c r="W174" s="141" t="n"/>
      <c r="X174" s="102" t="n"/>
    </row>
    <row r="175">
      <c r="A175" s="102">
        <f>IF('Energy Data Input'!$A175="","","AL-"&amp;TEXT(ROW()-5,"0000"))</f>
        <v/>
      </c>
      <c r="B175" s="141">
        <f>IF('Energy Data Input'!$B175="","",'Energy Data Input'!$B175)</f>
        <v/>
      </c>
      <c r="C175" s="102">
        <f>IF('Energy Data Input'!$C175="","",'Energy Data Input'!$C175)</f>
        <v/>
      </c>
      <c r="D175" s="102">
        <f>IF('Energy Data Input'!$D175="","",'Energy Data Input'!$D175)</f>
        <v/>
      </c>
      <c r="E175" s="102">
        <f>IF('Energy Data Input'!$E175="","",'Energy Data Input'!$E175)</f>
        <v/>
      </c>
      <c r="F175" s="102">
        <f>IF('Energy Data Input'!$G175="","",'Energy Data Input'!$G175)</f>
        <v/>
      </c>
      <c r="G175" s="102">
        <f>IF('Energy Data Input'!$H175="","",'Energy Data Input'!$H175)</f>
        <v/>
      </c>
      <c r="H175" s="102">
        <f>IF('Energy Data Input'!$J175="","",'Energy Data Input'!$J175)</f>
        <v/>
      </c>
      <c r="I175" s="142">
        <f>IF('Energy Data Input'!$N175="","",'Energy Data Input'!$N175)</f>
        <v/>
      </c>
      <c r="J175" s="142">
        <f>IF($B175="","",IFERROR(AVERAGEIFS('Energy Data Input'!$N$6:$N$205,'Energy Data Input'!$B$6:$B$205,"&gt;="&amp;$B175-7,'Energy Data Input'!$B$6:$B$205,"&lt;"&amp;$B175,'Energy Data Input'!$H$6:$H$205,$G175,'Energy Data Input'!$J$6:$J$205,$H175),$I175))</f>
        <v/>
      </c>
      <c r="K175" s="143">
        <f>IFERROR(($I175-$J175)/$J175,"")</f>
        <v/>
      </c>
      <c r="L175" s="102">
        <f>IF('Energy Data Input'!$V175="","",'Energy Data Input'!$V175)</f>
        <v/>
      </c>
      <c r="M175" s="102">
        <f>IF($H175="","",IFERROR(VLOOKUP($H175,'Base Settings'!$A$13:$K$19,5,FALSE),0.2))</f>
        <v/>
      </c>
      <c r="N175" s="102">
        <f>IF($B175="","",IF('Energy Data Input'!$L175="","Missing reading",IF($I175=0,"Stalled reading / possibly offline",IF($K175&gt;=IFERROR(VLOOKUP($H175,'Base Settings'!$A$13:$K$19,6,FALSE),0.5),"Severe spike",IF($K175&gt;=$M175,"Usage spike",IF($K175&lt;=-IFERROR(VLOOKUP($H175,'Base Settings'!$A$13:$K$19,7,FALSE),0.3),"Usage drop",IF($L175&gt;IFERROR(VLOOKUP($H175,'Base Settings'!$A$13:$K$19,8,FALSE),999999),"Area intensity overrun","Normal")))))))</f>
        <v/>
      </c>
      <c r="O175" s="102">
        <f>IF($N175="","",IF($N175="Normal","Normal",IF(OR($N175="Severe spike",$K175&gt;=IFERROR(VLOOKUP($H175,'Base Settings'!$A$13:$K$19,6,FALSE),0.5)),"Severe",IF(OR($N175="Usage spike",$N175="Usage drop"),"High","Medium"))))</f>
        <v/>
      </c>
      <c r="P175" s="144">
        <f>IF(OR($N175="",$N175="Normal"),0,ABS($I175-$J175)*'Energy Data Input'!$O175)</f>
        <v/>
      </c>
      <c r="Q175" s="102">
        <f>IF($N175="Normal","",IF($N175="Stalled reading / possibly offline","核查表计通信/Electricity池/网关/阀门Status",IF(AND($H175="Water",$N175&lt;&gt;"Normal"),"检查管网、阀门、卫生间、冷却塔及夜间最小流量",IF(AND($H175="Electricity",$N175&lt;&gt;"Normal"),"检查空调、照明、生产设备、PeakOff-peak时段与待机功耗",IF(AND($H175="Gas",$N175&lt;&gt;"Normal"),"检查燃Gas阀门、锅炉/厨房设备与泄漏风险","核查设备工况、排班、产量与计量数据")))))</f>
        <v/>
      </c>
      <c r="R175" s="102">
        <f>IF($H175="","",IFERROR(VLOOKUP($H175,'Base Settings'!$A$13:$K$19,11,FALSE),"Energy management owner"))</f>
        <v/>
      </c>
      <c r="S175" s="102">
        <f>IF($N175="","",IF($N175="Normal","No action needed","Open"))</f>
        <v/>
      </c>
      <c r="T175" s="141">
        <f>IF(OR($B175="",$N175="Normal"),"",WORKDAY($B175,IF($O175="Severe",1,IF($O175="High",2,3))))</f>
        <v/>
      </c>
      <c r="U175" s="102">
        <f>IF($T175="","",IF(AND($S175&lt;&gt;"Closed",TODAY()&gt;$T175),"Overdue","Not overdue"))</f>
        <v/>
      </c>
      <c r="V175" s="102" t="n"/>
      <c r="W175" s="141" t="n"/>
      <c r="X175" s="102" t="n"/>
    </row>
    <row r="176">
      <c r="A176" s="102">
        <f>IF('Energy Data Input'!$A176="","","AL-"&amp;TEXT(ROW()-5,"0000"))</f>
        <v/>
      </c>
      <c r="B176" s="141">
        <f>IF('Energy Data Input'!$B176="","",'Energy Data Input'!$B176)</f>
        <v/>
      </c>
      <c r="C176" s="102">
        <f>IF('Energy Data Input'!$C176="","",'Energy Data Input'!$C176)</f>
        <v/>
      </c>
      <c r="D176" s="102">
        <f>IF('Energy Data Input'!$D176="","",'Energy Data Input'!$D176)</f>
        <v/>
      </c>
      <c r="E176" s="102">
        <f>IF('Energy Data Input'!$E176="","",'Energy Data Input'!$E176)</f>
        <v/>
      </c>
      <c r="F176" s="102">
        <f>IF('Energy Data Input'!$G176="","",'Energy Data Input'!$G176)</f>
        <v/>
      </c>
      <c r="G176" s="102">
        <f>IF('Energy Data Input'!$H176="","",'Energy Data Input'!$H176)</f>
        <v/>
      </c>
      <c r="H176" s="102">
        <f>IF('Energy Data Input'!$J176="","",'Energy Data Input'!$J176)</f>
        <v/>
      </c>
      <c r="I176" s="142">
        <f>IF('Energy Data Input'!$N176="","",'Energy Data Input'!$N176)</f>
        <v/>
      </c>
      <c r="J176" s="142">
        <f>IF($B176="","",IFERROR(AVERAGEIFS('Energy Data Input'!$N$6:$N$205,'Energy Data Input'!$B$6:$B$205,"&gt;="&amp;$B176-7,'Energy Data Input'!$B$6:$B$205,"&lt;"&amp;$B176,'Energy Data Input'!$H$6:$H$205,$G176,'Energy Data Input'!$J$6:$J$205,$H176),$I176))</f>
        <v/>
      </c>
      <c r="K176" s="143">
        <f>IFERROR(($I176-$J176)/$J176,"")</f>
        <v/>
      </c>
      <c r="L176" s="102">
        <f>IF('Energy Data Input'!$V176="","",'Energy Data Input'!$V176)</f>
        <v/>
      </c>
      <c r="M176" s="102">
        <f>IF($H176="","",IFERROR(VLOOKUP($H176,'Base Settings'!$A$13:$K$19,5,FALSE),0.2))</f>
        <v/>
      </c>
      <c r="N176" s="102">
        <f>IF($B176="","",IF('Energy Data Input'!$L176="","Missing reading",IF($I176=0,"Stalled reading / possibly offline",IF($K176&gt;=IFERROR(VLOOKUP($H176,'Base Settings'!$A$13:$K$19,6,FALSE),0.5),"Severe spike",IF($K176&gt;=$M176,"Usage spike",IF($K176&lt;=-IFERROR(VLOOKUP($H176,'Base Settings'!$A$13:$K$19,7,FALSE),0.3),"Usage drop",IF($L176&gt;IFERROR(VLOOKUP($H176,'Base Settings'!$A$13:$K$19,8,FALSE),999999),"Area intensity overrun","Normal")))))))</f>
        <v/>
      </c>
      <c r="O176" s="102">
        <f>IF($N176="","",IF($N176="Normal","Normal",IF(OR($N176="Severe spike",$K176&gt;=IFERROR(VLOOKUP($H176,'Base Settings'!$A$13:$K$19,6,FALSE),0.5)),"Severe",IF(OR($N176="Usage spike",$N176="Usage drop"),"High","Medium"))))</f>
        <v/>
      </c>
      <c r="P176" s="144">
        <f>IF(OR($N176="",$N176="Normal"),0,ABS($I176-$J176)*'Energy Data Input'!$O176)</f>
        <v/>
      </c>
      <c r="Q176" s="102">
        <f>IF($N176="Normal","",IF($N176="Stalled reading / possibly offline","核查表计通信/Electricity池/网关/阀门Status",IF(AND($H176="Water",$N176&lt;&gt;"Normal"),"检查管网、阀门、卫生间、冷却塔及夜间最小流量",IF(AND($H176="Electricity",$N176&lt;&gt;"Normal"),"检查空调、照明、生产设备、PeakOff-peak时段与待机功耗",IF(AND($H176="Gas",$N176&lt;&gt;"Normal"),"检查燃Gas阀门、锅炉/厨房设备与泄漏风险","核查设备工况、排班、产量与计量数据")))))</f>
        <v/>
      </c>
      <c r="R176" s="102">
        <f>IF($H176="","",IFERROR(VLOOKUP($H176,'Base Settings'!$A$13:$K$19,11,FALSE),"Energy management owner"))</f>
        <v/>
      </c>
      <c r="S176" s="102">
        <f>IF($N176="","",IF($N176="Normal","No action needed","Open"))</f>
        <v/>
      </c>
      <c r="T176" s="141">
        <f>IF(OR($B176="",$N176="Normal"),"",WORKDAY($B176,IF($O176="Severe",1,IF($O176="High",2,3))))</f>
        <v/>
      </c>
      <c r="U176" s="102">
        <f>IF($T176="","",IF(AND($S176&lt;&gt;"Closed",TODAY()&gt;$T176),"Overdue","Not overdue"))</f>
        <v/>
      </c>
      <c r="V176" s="102" t="n"/>
      <c r="W176" s="141" t="n"/>
      <c r="X176" s="102" t="n"/>
    </row>
    <row r="177">
      <c r="A177" s="102">
        <f>IF('Energy Data Input'!$A177="","","AL-"&amp;TEXT(ROW()-5,"0000"))</f>
        <v/>
      </c>
      <c r="B177" s="141">
        <f>IF('Energy Data Input'!$B177="","",'Energy Data Input'!$B177)</f>
        <v/>
      </c>
      <c r="C177" s="102">
        <f>IF('Energy Data Input'!$C177="","",'Energy Data Input'!$C177)</f>
        <v/>
      </c>
      <c r="D177" s="102">
        <f>IF('Energy Data Input'!$D177="","",'Energy Data Input'!$D177)</f>
        <v/>
      </c>
      <c r="E177" s="102">
        <f>IF('Energy Data Input'!$E177="","",'Energy Data Input'!$E177)</f>
        <v/>
      </c>
      <c r="F177" s="102">
        <f>IF('Energy Data Input'!$G177="","",'Energy Data Input'!$G177)</f>
        <v/>
      </c>
      <c r="G177" s="102">
        <f>IF('Energy Data Input'!$H177="","",'Energy Data Input'!$H177)</f>
        <v/>
      </c>
      <c r="H177" s="102">
        <f>IF('Energy Data Input'!$J177="","",'Energy Data Input'!$J177)</f>
        <v/>
      </c>
      <c r="I177" s="142">
        <f>IF('Energy Data Input'!$N177="","",'Energy Data Input'!$N177)</f>
        <v/>
      </c>
      <c r="J177" s="142">
        <f>IF($B177="","",IFERROR(AVERAGEIFS('Energy Data Input'!$N$6:$N$205,'Energy Data Input'!$B$6:$B$205,"&gt;="&amp;$B177-7,'Energy Data Input'!$B$6:$B$205,"&lt;"&amp;$B177,'Energy Data Input'!$H$6:$H$205,$G177,'Energy Data Input'!$J$6:$J$205,$H177),$I177))</f>
        <v/>
      </c>
      <c r="K177" s="143">
        <f>IFERROR(($I177-$J177)/$J177,"")</f>
        <v/>
      </c>
      <c r="L177" s="102">
        <f>IF('Energy Data Input'!$V177="","",'Energy Data Input'!$V177)</f>
        <v/>
      </c>
      <c r="M177" s="102">
        <f>IF($H177="","",IFERROR(VLOOKUP($H177,'Base Settings'!$A$13:$K$19,5,FALSE),0.2))</f>
        <v/>
      </c>
      <c r="N177" s="102">
        <f>IF($B177="","",IF('Energy Data Input'!$L177="","Missing reading",IF($I177=0,"Stalled reading / possibly offline",IF($K177&gt;=IFERROR(VLOOKUP($H177,'Base Settings'!$A$13:$K$19,6,FALSE),0.5),"Severe spike",IF($K177&gt;=$M177,"Usage spike",IF($K177&lt;=-IFERROR(VLOOKUP($H177,'Base Settings'!$A$13:$K$19,7,FALSE),0.3),"Usage drop",IF($L177&gt;IFERROR(VLOOKUP($H177,'Base Settings'!$A$13:$K$19,8,FALSE),999999),"Area intensity overrun","Normal")))))))</f>
        <v/>
      </c>
      <c r="O177" s="102">
        <f>IF($N177="","",IF($N177="Normal","Normal",IF(OR($N177="Severe spike",$K177&gt;=IFERROR(VLOOKUP($H177,'Base Settings'!$A$13:$K$19,6,FALSE),0.5)),"Severe",IF(OR($N177="Usage spike",$N177="Usage drop"),"High","Medium"))))</f>
        <v/>
      </c>
      <c r="P177" s="144">
        <f>IF(OR($N177="",$N177="Normal"),0,ABS($I177-$J177)*'Energy Data Input'!$O177)</f>
        <v/>
      </c>
      <c r="Q177" s="102">
        <f>IF($N177="Normal","",IF($N177="Stalled reading / possibly offline","核查表计通信/Electricity池/网关/阀门Status",IF(AND($H177="Water",$N177&lt;&gt;"Normal"),"检查管网、阀门、卫生间、冷却塔及夜间最小流量",IF(AND($H177="Electricity",$N177&lt;&gt;"Normal"),"检查空调、照明、生产设备、PeakOff-peak时段与待机功耗",IF(AND($H177="Gas",$N177&lt;&gt;"Normal"),"检查燃Gas阀门、锅炉/厨房设备与泄漏风险","核查设备工况、排班、产量与计量数据")))))</f>
        <v/>
      </c>
      <c r="R177" s="102">
        <f>IF($H177="","",IFERROR(VLOOKUP($H177,'Base Settings'!$A$13:$K$19,11,FALSE),"Energy management owner"))</f>
        <v/>
      </c>
      <c r="S177" s="102">
        <f>IF($N177="","",IF($N177="Normal","No action needed","Open"))</f>
        <v/>
      </c>
      <c r="T177" s="141">
        <f>IF(OR($B177="",$N177="Normal"),"",WORKDAY($B177,IF($O177="Severe",1,IF($O177="High",2,3))))</f>
        <v/>
      </c>
      <c r="U177" s="102">
        <f>IF($T177="","",IF(AND($S177&lt;&gt;"Closed",TODAY()&gt;$T177),"Overdue","Not overdue"))</f>
        <v/>
      </c>
      <c r="V177" s="102" t="n"/>
      <c r="W177" s="141" t="n"/>
      <c r="X177" s="102" t="n"/>
    </row>
    <row r="178">
      <c r="A178" s="102">
        <f>IF('Energy Data Input'!$A178="","","AL-"&amp;TEXT(ROW()-5,"0000"))</f>
        <v/>
      </c>
      <c r="B178" s="141">
        <f>IF('Energy Data Input'!$B178="","",'Energy Data Input'!$B178)</f>
        <v/>
      </c>
      <c r="C178" s="102">
        <f>IF('Energy Data Input'!$C178="","",'Energy Data Input'!$C178)</f>
        <v/>
      </c>
      <c r="D178" s="102">
        <f>IF('Energy Data Input'!$D178="","",'Energy Data Input'!$D178)</f>
        <v/>
      </c>
      <c r="E178" s="102">
        <f>IF('Energy Data Input'!$E178="","",'Energy Data Input'!$E178)</f>
        <v/>
      </c>
      <c r="F178" s="102">
        <f>IF('Energy Data Input'!$G178="","",'Energy Data Input'!$G178)</f>
        <v/>
      </c>
      <c r="G178" s="102">
        <f>IF('Energy Data Input'!$H178="","",'Energy Data Input'!$H178)</f>
        <v/>
      </c>
      <c r="H178" s="102">
        <f>IF('Energy Data Input'!$J178="","",'Energy Data Input'!$J178)</f>
        <v/>
      </c>
      <c r="I178" s="142">
        <f>IF('Energy Data Input'!$N178="","",'Energy Data Input'!$N178)</f>
        <v/>
      </c>
      <c r="J178" s="142">
        <f>IF($B178="","",IFERROR(AVERAGEIFS('Energy Data Input'!$N$6:$N$205,'Energy Data Input'!$B$6:$B$205,"&gt;="&amp;$B178-7,'Energy Data Input'!$B$6:$B$205,"&lt;"&amp;$B178,'Energy Data Input'!$H$6:$H$205,$G178,'Energy Data Input'!$J$6:$J$205,$H178),$I178))</f>
        <v/>
      </c>
      <c r="K178" s="143">
        <f>IFERROR(($I178-$J178)/$J178,"")</f>
        <v/>
      </c>
      <c r="L178" s="102">
        <f>IF('Energy Data Input'!$V178="","",'Energy Data Input'!$V178)</f>
        <v/>
      </c>
      <c r="M178" s="102">
        <f>IF($H178="","",IFERROR(VLOOKUP($H178,'Base Settings'!$A$13:$K$19,5,FALSE),0.2))</f>
        <v/>
      </c>
      <c r="N178" s="102">
        <f>IF($B178="","",IF('Energy Data Input'!$L178="","Missing reading",IF($I178=0,"Stalled reading / possibly offline",IF($K178&gt;=IFERROR(VLOOKUP($H178,'Base Settings'!$A$13:$K$19,6,FALSE),0.5),"Severe spike",IF($K178&gt;=$M178,"Usage spike",IF($K178&lt;=-IFERROR(VLOOKUP($H178,'Base Settings'!$A$13:$K$19,7,FALSE),0.3),"Usage drop",IF($L178&gt;IFERROR(VLOOKUP($H178,'Base Settings'!$A$13:$K$19,8,FALSE),999999),"Area intensity overrun","Normal")))))))</f>
        <v/>
      </c>
      <c r="O178" s="102">
        <f>IF($N178="","",IF($N178="Normal","Normal",IF(OR($N178="Severe spike",$K178&gt;=IFERROR(VLOOKUP($H178,'Base Settings'!$A$13:$K$19,6,FALSE),0.5)),"Severe",IF(OR($N178="Usage spike",$N178="Usage drop"),"High","Medium"))))</f>
        <v/>
      </c>
      <c r="P178" s="144">
        <f>IF(OR($N178="",$N178="Normal"),0,ABS($I178-$J178)*'Energy Data Input'!$O178)</f>
        <v/>
      </c>
      <c r="Q178" s="102">
        <f>IF($N178="Normal","",IF($N178="Stalled reading / possibly offline","核查表计通信/Electricity池/网关/阀门Status",IF(AND($H178="Water",$N178&lt;&gt;"Normal"),"检查管网、阀门、卫生间、冷却塔及夜间最小流量",IF(AND($H178="Electricity",$N178&lt;&gt;"Normal"),"检查空调、照明、生产设备、PeakOff-peak时段与待机功耗",IF(AND($H178="Gas",$N178&lt;&gt;"Normal"),"检查燃Gas阀门、锅炉/厨房设备与泄漏风险","核查设备工况、排班、产量与计量数据")))))</f>
        <v/>
      </c>
      <c r="R178" s="102">
        <f>IF($H178="","",IFERROR(VLOOKUP($H178,'Base Settings'!$A$13:$K$19,11,FALSE),"Energy management owner"))</f>
        <v/>
      </c>
      <c r="S178" s="102">
        <f>IF($N178="","",IF($N178="Normal","No action needed","Open"))</f>
        <v/>
      </c>
      <c r="T178" s="141">
        <f>IF(OR($B178="",$N178="Normal"),"",WORKDAY($B178,IF($O178="Severe",1,IF($O178="High",2,3))))</f>
        <v/>
      </c>
      <c r="U178" s="102">
        <f>IF($T178="","",IF(AND($S178&lt;&gt;"Closed",TODAY()&gt;$T178),"Overdue","Not overdue"))</f>
        <v/>
      </c>
      <c r="V178" s="102" t="n"/>
      <c r="W178" s="141" t="n"/>
      <c r="X178" s="102" t="n"/>
    </row>
    <row r="179">
      <c r="A179" s="102">
        <f>IF('Energy Data Input'!$A179="","","AL-"&amp;TEXT(ROW()-5,"0000"))</f>
        <v/>
      </c>
      <c r="B179" s="141">
        <f>IF('Energy Data Input'!$B179="","",'Energy Data Input'!$B179)</f>
        <v/>
      </c>
      <c r="C179" s="102">
        <f>IF('Energy Data Input'!$C179="","",'Energy Data Input'!$C179)</f>
        <v/>
      </c>
      <c r="D179" s="102">
        <f>IF('Energy Data Input'!$D179="","",'Energy Data Input'!$D179)</f>
        <v/>
      </c>
      <c r="E179" s="102">
        <f>IF('Energy Data Input'!$E179="","",'Energy Data Input'!$E179)</f>
        <v/>
      </c>
      <c r="F179" s="102">
        <f>IF('Energy Data Input'!$G179="","",'Energy Data Input'!$G179)</f>
        <v/>
      </c>
      <c r="G179" s="102">
        <f>IF('Energy Data Input'!$H179="","",'Energy Data Input'!$H179)</f>
        <v/>
      </c>
      <c r="H179" s="102">
        <f>IF('Energy Data Input'!$J179="","",'Energy Data Input'!$J179)</f>
        <v/>
      </c>
      <c r="I179" s="142">
        <f>IF('Energy Data Input'!$N179="","",'Energy Data Input'!$N179)</f>
        <v/>
      </c>
      <c r="J179" s="142">
        <f>IF($B179="","",IFERROR(AVERAGEIFS('Energy Data Input'!$N$6:$N$205,'Energy Data Input'!$B$6:$B$205,"&gt;="&amp;$B179-7,'Energy Data Input'!$B$6:$B$205,"&lt;"&amp;$B179,'Energy Data Input'!$H$6:$H$205,$G179,'Energy Data Input'!$J$6:$J$205,$H179),$I179))</f>
        <v/>
      </c>
      <c r="K179" s="143">
        <f>IFERROR(($I179-$J179)/$J179,"")</f>
        <v/>
      </c>
      <c r="L179" s="102">
        <f>IF('Energy Data Input'!$V179="","",'Energy Data Input'!$V179)</f>
        <v/>
      </c>
      <c r="M179" s="102">
        <f>IF($H179="","",IFERROR(VLOOKUP($H179,'Base Settings'!$A$13:$K$19,5,FALSE),0.2))</f>
        <v/>
      </c>
      <c r="N179" s="102">
        <f>IF($B179="","",IF('Energy Data Input'!$L179="","Missing reading",IF($I179=0,"Stalled reading / possibly offline",IF($K179&gt;=IFERROR(VLOOKUP($H179,'Base Settings'!$A$13:$K$19,6,FALSE),0.5),"Severe spike",IF($K179&gt;=$M179,"Usage spike",IF($K179&lt;=-IFERROR(VLOOKUP($H179,'Base Settings'!$A$13:$K$19,7,FALSE),0.3),"Usage drop",IF($L179&gt;IFERROR(VLOOKUP($H179,'Base Settings'!$A$13:$K$19,8,FALSE),999999),"Area intensity overrun","Normal")))))))</f>
        <v/>
      </c>
      <c r="O179" s="102">
        <f>IF($N179="","",IF($N179="Normal","Normal",IF(OR($N179="Severe spike",$K179&gt;=IFERROR(VLOOKUP($H179,'Base Settings'!$A$13:$K$19,6,FALSE),0.5)),"Severe",IF(OR($N179="Usage spike",$N179="Usage drop"),"High","Medium"))))</f>
        <v/>
      </c>
      <c r="P179" s="144">
        <f>IF(OR($N179="",$N179="Normal"),0,ABS($I179-$J179)*'Energy Data Input'!$O179)</f>
        <v/>
      </c>
      <c r="Q179" s="102">
        <f>IF($N179="Normal","",IF($N179="Stalled reading / possibly offline","核查表计通信/Electricity池/网关/阀门Status",IF(AND($H179="Water",$N179&lt;&gt;"Normal"),"检查管网、阀门、卫生间、冷却塔及夜间最小流量",IF(AND($H179="Electricity",$N179&lt;&gt;"Normal"),"检查空调、照明、生产设备、PeakOff-peak时段与待机功耗",IF(AND($H179="Gas",$N179&lt;&gt;"Normal"),"检查燃Gas阀门、锅炉/厨房设备与泄漏风险","核查设备工况、排班、产量与计量数据")))))</f>
        <v/>
      </c>
      <c r="R179" s="102">
        <f>IF($H179="","",IFERROR(VLOOKUP($H179,'Base Settings'!$A$13:$K$19,11,FALSE),"Energy management owner"))</f>
        <v/>
      </c>
      <c r="S179" s="102">
        <f>IF($N179="","",IF($N179="Normal","No action needed","Open"))</f>
        <v/>
      </c>
      <c r="T179" s="141">
        <f>IF(OR($B179="",$N179="Normal"),"",WORKDAY($B179,IF($O179="Severe",1,IF($O179="High",2,3))))</f>
        <v/>
      </c>
      <c r="U179" s="102">
        <f>IF($T179="","",IF(AND($S179&lt;&gt;"Closed",TODAY()&gt;$T179),"Overdue","Not overdue"))</f>
        <v/>
      </c>
      <c r="V179" s="102" t="n"/>
      <c r="W179" s="141" t="n"/>
      <c r="X179" s="102" t="n"/>
    </row>
    <row r="180">
      <c r="A180" s="102">
        <f>IF('Energy Data Input'!$A180="","","AL-"&amp;TEXT(ROW()-5,"0000"))</f>
        <v/>
      </c>
      <c r="B180" s="141">
        <f>IF('Energy Data Input'!$B180="","",'Energy Data Input'!$B180)</f>
        <v/>
      </c>
      <c r="C180" s="102">
        <f>IF('Energy Data Input'!$C180="","",'Energy Data Input'!$C180)</f>
        <v/>
      </c>
      <c r="D180" s="102">
        <f>IF('Energy Data Input'!$D180="","",'Energy Data Input'!$D180)</f>
        <v/>
      </c>
      <c r="E180" s="102">
        <f>IF('Energy Data Input'!$E180="","",'Energy Data Input'!$E180)</f>
        <v/>
      </c>
      <c r="F180" s="102">
        <f>IF('Energy Data Input'!$G180="","",'Energy Data Input'!$G180)</f>
        <v/>
      </c>
      <c r="G180" s="102">
        <f>IF('Energy Data Input'!$H180="","",'Energy Data Input'!$H180)</f>
        <v/>
      </c>
      <c r="H180" s="102">
        <f>IF('Energy Data Input'!$J180="","",'Energy Data Input'!$J180)</f>
        <v/>
      </c>
      <c r="I180" s="142">
        <f>IF('Energy Data Input'!$N180="","",'Energy Data Input'!$N180)</f>
        <v/>
      </c>
      <c r="J180" s="142">
        <f>IF($B180="","",IFERROR(AVERAGEIFS('Energy Data Input'!$N$6:$N$205,'Energy Data Input'!$B$6:$B$205,"&gt;="&amp;$B180-7,'Energy Data Input'!$B$6:$B$205,"&lt;"&amp;$B180,'Energy Data Input'!$H$6:$H$205,$G180,'Energy Data Input'!$J$6:$J$205,$H180),$I180))</f>
        <v/>
      </c>
      <c r="K180" s="143">
        <f>IFERROR(($I180-$J180)/$J180,"")</f>
        <v/>
      </c>
      <c r="L180" s="102">
        <f>IF('Energy Data Input'!$V180="","",'Energy Data Input'!$V180)</f>
        <v/>
      </c>
      <c r="M180" s="102">
        <f>IF($H180="","",IFERROR(VLOOKUP($H180,'Base Settings'!$A$13:$K$19,5,FALSE),0.2))</f>
        <v/>
      </c>
      <c r="N180" s="102">
        <f>IF($B180="","",IF('Energy Data Input'!$L180="","Missing reading",IF($I180=0,"Stalled reading / possibly offline",IF($K180&gt;=IFERROR(VLOOKUP($H180,'Base Settings'!$A$13:$K$19,6,FALSE),0.5),"Severe spike",IF($K180&gt;=$M180,"Usage spike",IF($K180&lt;=-IFERROR(VLOOKUP($H180,'Base Settings'!$A$13:$K$19,7,FALSE),0.3),"Usage drop",IF($L180&gt;IFERROR(VLOOKUP($H180,'Base Settings'!$A$13:$K$19,8,FALSE),999999),"Area intensity overrun","Normal")))))))</f>
        <v/>
      </c>
      <c r="O180" s="102">
        <f>IF($N180="","",IF($N180="Normal","Normal",IF(OR($N180="Severe spike",$K180&gt;=IFERROR(VLOOKUP($H180,'Base Settings'!$A$13:$K$19,6,FALSE),0.5)),"Severe",IF(OR($N180="Usage spike",$N180="Usage drop"),"High","Medium"))))</f>
        <v/>
      </c>
      <c r="P180" s="144">
        <f>IF(OR($N180="",$N180="Normal"),0,ABS($I180-$J180)*'Energy Data Input'!$O180)</f>
        <v/>
      </c>
      <c r="Q180" s="102">
        <f>IF($N180="Normal","",IF($N180="Stalled reading / possibly offline","核查表计通信/Electricity池/网关/阀门Status",IF(AND($H180="Water",$N180&lt;&gt;"Normal"),"检查管网、阀门、卫生间、冷却塔及夜间最小流量",IF(AND($H180="Electricity",$N180&lt;&gt;"Normal"),"检查空调、照明、生产设备、PeakOff-peak时段与待机功耗",IF(AND($H180="Gas",$N180&lt;&gt;"Normal"),"检查燃Gas阀门、锅炉/厨房设备与泄漏风险","核查设备工况、排班、产量与计量数据")))))</f>
        <v/>
      </c>
      <c r="R180" s="102">
        <f>IF($H180="","",IFERROR(VLOOKUP($H180,'Base Settings'!$A$13:$K$19,11,FALSE),"Energy management owner"))</f>
        <v/>
      </c>
      <c r="S180" s="102">
        <f>IF($N180="","",IF($N180="Normal","No action needed","Open"))</f>
        <v/>
      </c>
      <c r="T180" s="141">
        <f>IF(OR($B180="",$N180="Normal"),"",WORKDAY($B180,IF($O180="Severe",1,IF($O180="High",2,3))))</f>
        <v/>
      </c>
      <c r="U180" s="102">
        <f>IF($T180="","",IF(AND($S180&lt;&gt;"Closed",TODAY()&gt;$T180),"Overdue","Not overdue"))</f>
        <v/>
      </c>
      <c r="V180" s="102" t="n"/>
      <c r="W180" s="141" t="n"/>
      <c r="X180" s="102" t="n"/>
    </row>
    <row r="181">
      <c r="A181" s="102">
        <f>IF('Energy Data Input'!$A181="","","AL-"&amp;TEXT(ROW()-5,"0000"))</f>
        <v/>
      </c>
      <c r="B181" s="141">
        <f>IF('Energy Data Input'!$B181="","",'Energy Data Input'!$B181)</f>
        <v/>
      </c>
      <c r="C181" s="102">
        <f>IF('Energy Data Input'!$C181="","",'Energy Data Input'!$C181)</f>
        <v/>
      </c>
      <c r="D181" s="102">
        <f>IF('Energy Data Input'!$D181="","",'Energy Data Input'!$D181)</f>
        <v/>
      </c>
      <c r="E181" s="102">
        <f>IF('Energy Data Input'!$E181="","",'Energy Data Input'!$E181)</f>
        <v/>
      </c>
      <c r="F181" s="102">
        <f>IF('Energy Data Input'!$G181="","",'Energy Data Input'!$G181)</f>
        <v/>
      </c>
      <c r="G181" s="102">
        <f>IF('Energy Data Input'!$H181="","",'Energy Data Input'!$H181)</f>
        <v/>
      </c>
      <c r="H181" s="102">
        <f>IF('Energy Data Input'!$J181="","",'Energy Data Input'!$J181)</f>
        <v/>
      </c>
      <c r="I181" s="142">
        <f>IF('Energy Data Input'!$N181="","",'Energy Data Input'!$N181)</f>
        <v/>
      </c>
      <c r="J181" s="142">
        <f>IF($B181="","",IFERROR(AVERAGEIFS('Energy Data Input'!$N$6:$N$205,'Energy Data Input'!$B$6:$B$205,"&gt;="&amp;$B181-7,'Energy Data Input'!$B$6:$B$205,"&lt;"&amp;$B181,'Energy Data Input'!$H$6:$H$205,$G181,'Energy Data Input'!$J$6:$J$205,$H181),$I181))</f>
        <v/>
      </c>
      <c r="K181" s="143">
        <f>IFERROR(($I181-$J181)/$J181,"")</f>
        <v/>
      </c>
      <c r="L181" s="102">
        <f>IF('Energy Data Input'!$V181="","",'Energy Data Input'!$V181)</f>
        <v/>
      </c>
      <c r="M181" s="102">
        <f>IF($H181="","",IFERROR(VLOOKUP($H181,'Base Settings'!$A$13:$K$19,5,FALSE),0.2))</f>
        <v/>
      </c>
      <c r="N181" s="102">
        <f>IF($B181="","",IF('Energy Data Input'!$L181="","Missing reading",IF($I181=0,"Stalled reading / possibly offline",IF($K181&gt;=IFERROR(VLOOKUP($H181,'Base Settings'!$A$13:$K$19,6,FALSE),0.5),"Severe spike",IF($K181&gt;=$M181,"Usage spike",IF($K181&lt;=-IFERROR(VLOOKUP($H181,'Base Settings'!$A$13:$K$19,7,FALSE),0.3),"Usage drop",IF($L181&gt;IFERROR(VLOOKUP($H181,'Base Settings'!$A$13:$K$19,8,FALSE),999999),"Area intensity overrun","Normal")))))))</f>
        <v/>
      </c>
      <c r="O181" s="102">
        <f>IF($N181="","",IF($N181="Normal","Normal",IF(OR($N181="Severe spike",$K181&gt;=IFERROR(VLOOKUP($H181,'Base Settings'!$A$13:$K$19,6,FALSE),0.5)),"Severe",IF(OR($N181="Usage spike",$N181="Usage drop"),"High","Medium"))))</f>
        <v/>
      </c>
      <c r="P181" s="144">
        <f>IF(OR($N181="",$N181="Normal"),0,ABS($I181-$J181)*'Energy Data Input'!$O181)</f>
        <v/>
      </c>
      <c r="Q181" s="102">
        <f>IF($N181="Normal","",IF($N181="Stalled reading / possibly offline","核查表计通信/Electricity池/网关/阀门Status",IF(AND($H181="Water",$N181&lt;&gt;"Normal"),"检查管网、阀门、卫生间、冷却塔及夜间最小流量",IF(AND($H181="Electricity",$N181&lt;&gt;"Normal"),"检查空调、照明、生产设备、PeakOff-peak时段与待机功耗",IF(AND($H181="Gas",$N181&lt;&gt;"Normal"),"检查燃Gas阀门、锅炉/厨房设备与泄漏风险","核查设备工况、排班、产量与计量数据")))))</f>
        <v/>
      </c>
      <c r="R181" s="102">
        <f>IF($H181="","",IFERROR(VLOOKUP($H181,'Base Settings'!$A$13:$K$19,11,FALSE),"Energy management owner"))</f>
        <v/>
      </c>
      <c r="S181" s="102">
        <f>IF($N181="","",IF($N181="Normal","No action needed","Open"))</f>
        <v/>
      </c>
      <c r="T181" s="141">
        <f>IF(OR($B181="",$N181="Normal"),"",WORKDAY($B181,IF($O181="Severe",1,IF($O181="High",2,3))))</f>
        <v/>
      </c>
      <c r="U181" s="102">
        <f>IF($T181="","",IF(AND($S181&lt;&gt;"Closed",TODAY()&gt;$T181),"Overdue","Not overdue"))</f>
        <v/>
      </c>
      <c r="V181" s="102" t="n"/>
      <c r="W181" s="141" t="n"/>
      <c r="X181" s="102" t="n"/>
    </row>
    <row r="182">
      <c r="A182" s="102">
        <f>IF('Energy Data Input'!$A182="","","AL-"&amp;TEXT(ROW()-5,"0000"))</f>
        <v/>
      </c>
      <c r="B182" s="141">
        <f>IF('Energy Data Input'!$B182="","",'Energy Data Input'!$B182)</f>
        <v/>
      </c>
      <c r="C182" s="102">
        <f>IF('Energy Data Input'!$C182="","",'Energy Data Input'!$C182)</f>
        <v/>
      </c>
      <c r="D182" s="102">
        <f>IF('Energy Data Input'!$D182="","",'Energy Data Input'!$D182)</f>
        <v/>
      </c>
      <c r="E182" s="102">
        <f>IF('Energy Data Input'!$E182="","",'Energy Data Input'!$E182)</f>
        <v/>
      </c>
      <c r="F182" s="102">
        <f>IF('Energy Data Input'!$G182="","",'Energy Data Input'!$G182)</f>
        <v/>
      </c>
      <c r="G182" s="102">
        <f>IF('Energy Data Input'!$H182="","",'Energy Data Input'!$H182)</f>
        <v/>
      </c>
      <c r="H182" s="102">
        <f>IF('Energy Data Input'!$J182="","",'Energy Data Input'!$J182)</f>
        <v/>
      </c>
      <c r="I182" s="142">
        <f>IF('Energy Data Input'!$N182="","",'Energy Data Input'!$N182)</f>
        <v/>
      </c>
      <c r="J182" s="142">
        <f>IF($B182="","",IFERROR(AVERAGEIFS('Energy Data Input'!$N$6:$N$205,'Energy Data Input'!$B$6:$B$205,"&gt;="&amp;$B182-7,'Energy Data Input'!$B$6:$B$205,"&lt;"&amp;$B182,'Energy Data Input'!$H$6:$H$205,$G182,'Energy Data Input'!$J$6:$J$205,$H182),$I182))</f>
        <v/>
      </c>
      <c r="K182" s="143">
        <f>IFERROR(($I182-$J182)/$J182,"")</f>
        <v/>
      </c>
      <c r="L182" s="102">
        <f>IF('Energy Data Input'!$V182="","",'Energy Data Input'!$V182)</f>
        <v/>
      </c>
      <c r="M182" s="102">
        <f>IF($H182="","",IFERROR(VLOOKUP($H182,'Base Settings'!$A$13:$K$19,5,FALSE),0.2))</f>
        <v/>
      </c>
      <c r="N182" s="102">
        <f>IF($B182="","",IF('Energy Data Input'!$L182="","Missing reading",IF($I182=0,"Stalled reading / possibly offline",IF($K182&gt;=IFERROR(VLOOKUP($H182,'Base Settings'!$A$13:$K$19,6,FALSE),0.5),"Severe spike",IF($K182&gt;=$M182,"Usage spike",IF($K182&lt;=-IFERROR(VLOOKUP($H182,'Base Settings'!$A$13:$K$19,7,FALSE),0.3),"Usage drop",IF($L182&gt;IFERROR(VLOOKUP($H182,'Base Settings'!$A$13:$K$19,8,FALSE),999999),"Area intensity overrun","Normal")))))))</f>
        <v/>
      </c>
      <c r="O182" s="102">
        <f>IF($N182="","",IF($N182="Normal","Normal",IF(OR($N182="Severe spike",$K182&gt;=IFERROR(VLOOKUP($H182,'Base Settings'!$A$13:$K$19,6,FALSE),0.5)),"Severe",IF(OR($N182="Usage spike",$N182="Usage drop"),"High","Medium"))))</f>
        <v/>
      </c>
      <c r="P182" s="144">
        <f>IF(OR($N182="",$N182="Normal"),0,ABS($I182-$J182)*'Energy Data Input'!$O182)</f>
        <v/>
      </c>
      <c r="Q182" s="102">
        <f>IF($N182="Normal","",IF($N182="Stalled reading / possibly offline","核查表计通信/Electricity池/网关/阀门Status",IF(AND($H182="Water",$N182&lt;&gt;"Normal"),"检查管网、阀门、卫生间、冷却塔及夜间最小流量",IF(AND($H182="Electricity",$N182&lt;&gt;"Normal"),"检查空调、照明、生产设备、PeakOff-peak时段与待机功耗",IF(AND($H182="Gas",$N182&lt;&gt;"Normal"),"检查燃Gas阀门、锅炉/厨房设备与泄漏风险","核查设备工况、排班、产量与计量数据")))))</f>
        <v/>
      </c>
      <c r="R182" s="102">
        <f>IF($H182="","",IFERROR(VLOOKUP($H182,'Base Settings'!$A$13:$K$19,11,FALSE),"Energy management owner"))</f>
        <v/>
      </c>
      <c r="S182" s="102">
        <f>IF($N182="","",IF($N182="Normal","No action needed","Open"))</f>
        <v/>
      </c>
      <c r="T182" s="141">
        <f>IF(OR($B182="",$N182="Normal"),"",WORKDAY($B182,IF($O182="Severe",1,IF($O182="High",2,3))))</f>
        <v/>
      </c>
      <c r="U182" s="102">
        <f>IF($T182="","",IF(AND($S182&lt;&gt;"Closed",TODAY()&gt;$T182),"Overdue","Not overdue"))</f>
        <v/>
      </c>
      <c r="V182" s="102" t="n"/>
      <c r="W182" s="141" t="n"/>
      <c r="X182" s="102" t="n"/>
    </row>
    <row r="183">
      <c r="A183" s="102">
        <f>IF('Energy Data Input'!$A183="","","AL-"&amp;TEXT(ROW()-5,"0000"))</f>
        <v/>
      </c>
      <c r="B183" s="141">
        <f>IF('Energy Data Input'!$B183="","",'Energy Data Input'!$B183)</f>
        <v/>
      </c>
      <c r="C183" s="102">
        <f>IF('Energy Data Input'!$C183="","",'Energy Data Input'!$C183)</f>
        <v/>
      </c>
      <c r="D183" s="102">
        <f>IF('Energy Data Input'!$D183="","",'Energy Data Input'!$D183)</f>
        <v/>
      </c>
      <c r="E183" s="102">
        <f>IF('Energy Data Input'!$E183="","",'Energy Data Input'!$E183)</f>
        <v/>
      </c>
      <c r="F183" s="102">
        <f>IF('Energy Data Input'!$G183="","",'Energy Data Input'!$G183)</f>
        <v/>
      </c>
      <c r="G183" s="102">
        <f>IF('Energy Data Input'!$H183="","",'Energy Data Input'!$H183)</f>
        <v/>
      </c>
      <c r="H183" s="102">
        <f>IF('Energy Data Input'!$J183="","",'Energy Data Input'!$J183)</f>
        <v/>
      </c>
      <c r="I183" s="142">
        <f>IF('Energy Data Input'!$N183="","",'Energy Data Input'!$N183)</f>
        <v/>
      </c>
      <c r="J183" s="142">
        <f>IF($B183="","",IFERROR(AVERAGEIFS('Energy Data Input'!$N$6:$N$205,'Energy Data Input'!$B$6:$B$205,"&gt;="&amp;$B183-7,'Energy Data Input'!$B$6:$B$205,"&lt;"&amp;$B183,'Energy Data Input'!$H$6:$H$205,$G183,'Energy Data Input'!$J$6:$J$205,$H183),$I183))</f>
        <v/>
      </c>
      <c r="K183" s="143">
        <f>IFERROR(($I183-$J183)/$J183,"")</f>
        <v/>
      </c>
      <c r="L183" s="102">
        <f>IF('Energy Data Input'!$V183="","",'Energy Data Input'!$V183)</f>
        <v/>
      </c>
      <c r="M183" s="102">
        <f>IF($H183="","",IFERROR(VLOOKUP($H183,'Base Settings'!$A$13:$K$19,5,FALSE),0.2))</f>
        <v/>
      </c>
      <c r="N183" s="102">
        <f>IF($B183="","",IF('Energy Data Input'!$L183="","Missing reading",IF($I183=0,"Stalled reading / possibly offline",IF($K183&gt;=IFERROR(VLOOKUP($H183,'Base Settings'!$A$13:$K$19,6,FALSE),0.5),"Severe spike",IF($K183&gt;=$M183,"Usage spike",IF($K183&lt;=-IFERROR(VLOOKUP($H183,'Base Settings'!$A$13:$K$19,7,FALSE),0.3),"Usage drop",IF($L183&gt;IFERROR(VLOOKUP($H183,'Base Settings'!$A$13:$K$19,8,FALSE),999999),"Area intensity overrun","Normal")))))))</f>
        <v/>
      </c>
      <c r="O183" s="102">
        <f>IF($N183="","",IF($N183="Normal","Normal",IF(OR($N183="Severe spike",$K183&gt;=IFERROR(VLOOKUP($H183,'Base Settings'!$A$13:$K$19,6,FALSE),0.5)),"Severe",IF(OR($N183="Usage spike",$N183="Usage drop"),"High","Medium"))))</f>
        <v/>
      </c>
      <c r="P183" s="144">
        <f>IF(OR($N183="",$N183="Normal"),0,ABS($I183-$J183)*'Energy Data Input'!$O183)</f>
        <v/>
      </c>
      <c r="Q183" s="102">
        <f>IF($N183="Normal","",IF($N183="Stalled reading / possibly offline","核查表计通信/Electricity池/网关/阀门Status",IF(AND($H183="Water",$N183&lt;&gt;"Normal"),"检查管网、阀门、卫生间、冷却塔及夜间最小流量",IF(AND($H183="Electricity",$N183&lt;&gt;"Normal"),"检查空调、照明、生产设备、PeakOff-peak时段与待机功耗",IF(AND($H183="Gas",$N183&lt;&gt;"Normal"),"检查燃Gas阀门、锅炉/厨房设备与泄漏风险","核查设备工况、排班、产量与计量数据")))))</f>
        <v/>
      </c>
      <c r="R183" s="102">
        <f>IF($H183="","",IFERROR(VLOOKUP($H183,'Base Settings'!$A$13:$K$19,11,FALSE),"Energy management owner"))</f>
        <v/>
      </c>
      <c r="S183" s="102">
        <f>IF($N183="","",IF($N183="Normal","No action needed","Open"))</f>
        <v/>
      </c>
      <c r="T183" s="141">
        <f>IF(OR($B183="",$N183="Normal"),"",WORKDAY($B183,IF($O183="Severe",1,IF($O183="High",2,3))))</f>
        <v/>
      </c>
      <c r="U183" s="102">
        <f>IF($T183="","",IF(AND($S183&lt;&gt;"Closed",TODAY()&gt;$T183),"Overdue","Not overdue"))</f>
        <v/>
      </c>
      <c r="V183" s="102" t="n"/>
      <c r="W183" s="141" t="n"/>
      <c r="X183" s="102" t="n"/>
    </row>
    <row r="184">
      <c r="A184" s="102">
        <f>IF('Energy Data Input'!$A184="","","AL-"&amp;TEXT(ROW()-5,"0000"))</f>
        <v/>
      </c>
      <c r="B184" s="141">
        <f>IF('Energy Data Input'!$B184="","",'Energy Data Input'!$B184)</f>
        <v/>
      </c>
      <c r="C184" s="102">
        <f>IF('Energy Data Input'!$C184="","",'Energy Data Input'!$C184)</f>
        <v/>
      </c>
      <c r="D184" s="102">
        <f>IF('Energy Data Input'!$D184="","",'Energy Data Input'!$D184)</f>
        <v/>
      </c>
      <c r="E184" s="102">
        <f>IF('Energy Data Input'!$E184="","",'Energy Data Input'!$E184)</f>
        <v/>
      </c>
      <c r="F184" s="102">
        <f>IF('Energy Data Input'!$G184="","",'Energy Data Input'!$G184)</f>
        <v/>
      </c>
      <c r="G184" s="102">
        <f>IF('Energy Data Input'!$H184="","",'Energy Data Input'!$H184)</f>
        <v/>
      </c>
      <c r="H184" s="102">
        <f>IF('Energy Data Input'!$J184="","",'Energy Data Input'!$J184)</f>
        <v/>
      </c>
      <c r="I184" s="142">
        <f>IF('Energy Data Input'!$N184="","",'Energy Data Input'!$N184)</f>
        <v/>
      </c>
      <c r="J184" s="142">
        <f>IF($B184="","",IFERROR(AVERAGEIFS('Energy Data Input'!$N$6:$N$205,'Energy Data Input'!$B$6:$B$205,"&gt;="&amp;$B184-7,'Energy Data Input'!$B$6:$B$205,"&lt;"&amp;$B184,'Energy Data Input'!$H$6:$H$205,$G184,'Energy Data Input'!$J$6:$J$205,$H184),$I184))</f>
        <v/>
      </c>
      <c r="K184" s="143">
        <f>IFERROR(($I184-$J184)/$J184,"")</f>
        <v/>
      </c>
      <c r="L184" s="102">
        <f>IF('Energy Data Input'!$V184="","",'Energy Data Input'!$V184)</f>
        <v/>
      </c>
      <c r="M184" s="102">
        <f>IF($H184="","",IFERROR(VLOOKUP($H184,'Base Settings'!$A$13:$K$19,5,FALSE),0.2))</f>
        <v/>
      </c>
      <c r="N184" s="102">
        <f>IF($B184="","",IF('Energy Data Input'!$L184="","Missing reading",IF($I184=0,"Stalled reading / possibly offline",IF($K184&gt;=IFERROR(VLOOKUP($H184,'Base Settings'!$A$13:$K$19,6,FALSE),0.5),"Severe spike",IF($K184&gt;=$M184,"Usage spike",IF($K184&lt;=-IFERROR(VLOOKUP($H184,'Base Settings'!$A$13:$K$19,7,FALSE),0.3),"Usage drop",IF($L184&gt;IFERROR(VLOOKUP($H184,'Base Settings'!$A$13:$K$19,8,FALSE),999999),"Area intensity overrun","Normal")))))))</f>
        <v/>
      </c>
      <c r="O184" s="102">
        <f>IF($N184="","",IF($N184="Normal","Normal",IF(OR($N184="Severe spike",$K184&gt;=IFERROR(VLOOKUP($H184,'Base Settings'!$A$13:$K$19,6,FALSE),0.5)),"Severe",IF(OR($N184="Usage spike",$N184="Usage drop"),"High","Medium"))))</f>
        <v/>
      </c>
      <c r="P184" s="144">
        <f>IF(OR($N184="",$N184="Normal"),0,ABS($I184-$J184)*'Energy Data Input'!$O184)</f>
        <v/>
      </c>
      <c r="Q184" s="102">
        <f>IF($N184="Normal","",IF($N184="Stalled reading / possibly offline","核查表计通信/Electricity池/网关/阀门Status",IF(AND($H184="Water",$N184&lt;&gt;"Normal"),"检查管网、阀门、卫生间、冷却塔及夜间最小流量",IF(AND($H184="Electricity",$N184&lt;&gt;"Normal"),"检查空调、照明、生产设备、PeakOff-peak时段与待机功耗",IF(AND($H184="Gas",$N184&lt;&gt;"Normal"),"检查燃Gas阀门、锅炉/厨房设备与泄漏风险","核查设备工况、排班、产量与计量数据")))))</f>
        <v/>
      </c>
      <c r="R184" s="102">
        <f>IF($H184="","",IFERROR(VLOOKUP($H184,'Base Settings'!$A$13:$K$19,11,FALSE),"Energy management owner"))</f>
        <v/>
      </c>
      <c r="S184" s="102">
        <f>IF($N184="","",IF($N184="Normal","No action needed","Open"))</f>
        <v/>
      </c>
      <c r="T184" s="141">
        <f>IF(OR($B184="",$N184="Normal"),"",WORKDAY($B184,IF($O184="Severe",1,IF($O184="High",2,3))))</f>
        <v/>
      </c>
      <c r="U184" s="102">
        <f>IF($T184="","",IF(AND($S184&lt;&gt;"Closed",TODAY()&gt;$T184),"Overdue","Not overdue"))</f>
        <v/>
      </c>
      <c r="V184" s="102" t="n"/>
      <c r="W184" s="141" t="n"/>
      <c r="X184" s="102" t="n"/>
    </row>
    <row r="185">
      <c r="A185" s="102">
        <f>IF('Energy Data Input'!$A185="","","AL-"&amp;TEXT(ROW()-5,"0000"))</f>
        <v/>
      </c>
      <c r="B185" s="141">
        <f>IF('Energy Data Input'!$B185="","",'Energy Data Input'!$B185)</f>
        <v/>
      </c>
      <c r="C185" s="102">
        <f>IF('Energy Data Input'!$C185="","",'Energy Data Input'!$C185)</f>
        <v/>
      </c>
      <c r="D185" s="102">
        <f>IF('Energy Data Input'!$D185="","",'Energy Data Input'!$D185)</f>
        <v/>
      </c>
      <c r="E185" s="102">
        <f>IF('Energy Data Input'!$E185="","",'Energy Data Input'!$E185)</f>
        <v/>
      </c>
      <c r="F185" s="102">
        <f>IF('Energy Data Input'!$G185="","",'Energy Data Input'!$G185)</f>
        <v/>
      </c>
      <c r="G185" s="102">
        <f>IF('Energy Data Input'!$H185="","",'Energy Data Input'!$H185)</f>
        <v/>
      </c>
      <c r="H185" s="102">
        <f>IF('Energy Data Input'!$J185="","",'Energy Data Input'!$J185)</f>
        <v/>
      </c>
      <c r="I185" s="142">
        <f>IF('Energy Data Input'!$N185="","",'Energy Data Input'!$N185)</f>
        <v/>
      </c>
      <c r="J185" s="142">
        <f>IF($B185="","",IFERROR(AVERAGEIFS('Energy Data Input'!$N$6:$N$205,'Energy Data Input'!$B$6:$B$205,"&gt;="&amp;$B185-7,'Energy Data Input'!$B$6:$B$205,"&lt;"&amp;$B185,'Energy Data Input'!$H$6:$H$205,$G185,'Energy Data Input'!$J$6:$J$205,$H185),$I185))</f>
        <v/>
      </c>
      <c r="K185" s="143">
        <f>IFERROR(($I185-$J185)/$J185,"")</f>
        <v/>
      </c>
      <c r="L185" s="102">
        <f>IF('Energy Data Input'!$V185="","",'Energy Data Input'!$V185)</f>
        <v/>
      </c>
      <c r="M185" s="102">
        <f>IF($H185="","",IFERROR(VLOOKUP($H185,'Base Settings'!$A$13:$K$19,5,FALSE),0.2))</f>
        <v/>
      </c>
      <c r="N185" s="102">
        <f>IF($B185="","",IF('Energy Data Input'!$L185="","Missing reading",IF($I185=0,"Stalled reading / possibly offline",IF($K185&gt;=IFERROR(VLOOKUP($H185,'Base Settings'!$A$13:$K$19,6,FALSE),0.5),"Severe spike",IF($K185&gt;=$M185,"Usage spike",IF($K185&lt;=-IFERROR(VLOOKUP($H185,'Base Settings'!$A$13:$K$19,7,FALSE),0.3),"Usage drop",IF($L185&gt;IFERROR(VLOOKUP($H185,'Base Settings'!$A$13:$K$19,8,FALSE),999999),"Area intensity overrun","Normal")))))))</f>
        <v/>
      </c>
      <c r="O185" s="102">
        <f>IF($N185="","",IF($N185="Normal","Normal",IF(OR($N185="Severe spike",$K185&gt;=IFERROR(VLOOKUP($H185,'Base Settings'!$A$13:$K$19,6,FALSE),0.5)),"Severe",IF(OR($N185="Usage spike",$N185="Usage drop"),"High","Medium"))))</f>
        <v/>
      </c>
      <c r="P185" s="144">
        <f>IF(OR($N185="",$N185="Normal"),0,ABS($I185-$J185)*'Energy Data Input'!$O185)</f>
        <v/>
      </c>
      <c r="Q185" s="102">
        <f>IF($N185="Normal","",IF($N185="Stalled reading / possibly offline","核查表计通信/Electricity池/网关/阀门Status",IF(AND($H185="Water",$N185&lt;&gt;"Normal"),"检查管网、阀门、卫生间、冷却塔及夜间最小流量",IF(AND($H185="Electricity",$N185&lt;&gt;"Normal"),"检查空调、照明、生产设备、PeakOff-peak时段与待机功耗",IF(AND($H185="Gas",$N185&lt;&gt;"Normal"),"检查燃Gas阀门、锅炉/厨房设备与泄漏风险","核查设备工况、排班、产量与计量数据")))))</f>
        <v/>
      </c>
      <c r="R185" s="102">
        <f>IF($H185="","",IFERROR(VLOOKUP($H185,'Base Settings'!$A$13:$K$19,11,FALSE),"Energy management owner"))</f>
        <v/>
      </c>
      <c r="S185" s="102">
        <f>IF($N185="","",IF($N185="Normal","No action needed","Open"))</f>
        <v/>
      </c>
      <c r="T185" s="141">
        <f>IF(OR($B185="",$N185="Normal"),"",WORKDAY($B185,IF($O185="Severe",1,IF($O185="High",2,3))))</f>
        <v/>
      </c>
      <c r="U185" s="102">
        <f>IF($T185="","",IF(AND($S185&lt;&gt;"Closed",TODAY()&gt;$T185),"Overdue","Not overdue"))</f>
        <v/>
      </c>
      <c r="V185" s="102" t="n"/>
      <c r="W185" s="141" t="n"/>
      <c r="X185" s="102" t="n"/>
    </row>
    <row r="186">
      <c r="A186" s="102">
        <f>IF('Energy Data Input'!$A186="","","AL-"&amp;TEXT(ROW()-5,"0000"))</f>
        <v/>
      </c>
      <c r="B186" s="141">
        <f>IF('Energy Data Input'!$B186="","",'Energy Data Input'!$B186)</f>
        <v/>
      </c>
      <c r="C186" s="102">
        <f>IF('Energy Data Input'!$C186="","",'Energy Data Input'!$C186)</f>
        <v/>
      </c>
      <c r="D186" s="102">
        <f>IF('Energy Data Input'!$D186="","",'Energy Data Input'!$D186)</f>
        <v/>
      </c>
      <c r="E186" s="102">
        <f>IF('Energy Data Input'!$E186="","",'Energy Data Input'!$E186)</f>
        <v/>
      </c>
      <c r="F186" s="102">
        <f>IF('Energy Data Input'!$G186="","",'Energy Data Input'!$G186)</f>
        <v/>
      </c>
      <c r="G186" s="102">
        <f>IF('Energy Data Input'!$H186="","",'Energy Data Input'!$H186)</f>
        <v/>
      </c>
      <c r="H186" s="102">
        <f>IF('Energy Data Input'!$J186="","",'Energy Data Input'!$J186)</f>
        <v/>
      </c>
      <c r="I186" s="142">
        <f>IF('Energy Data Input'!$N186="","",'Energy Data Input'!$N186)</f>
        <v/>
      </c>
      <c r="J186" s="142">
        <f>IF($B186="","",IFERROR(AVERAGEIFS('Energy Data Input'!$N$6:$N$205,'Energy Data Input'!$B$6:$B$205,"&gt;="&amp;$B186-7,'Energy Data Input'!$B$6:$B$205,"&lt;"&amp;$B186,'Energy Data Input'!$H$6:$H$205,$G186,'Energy Data Input'!$J$6:$J$205,$H186),$I186))</f>
        <v/>
      </c>
      <c r="K186" s="143">
        <f>IFERROR(($I186-$J186)/$J186,"")</f>
        <v/>
      </c>
      <c r="L186" s="102">
        <f>IF('Energy Data Input'!$V186="","",'Energy Data Input'!$V186)</f>
        <v/>
      </c>
      <c r="M186" s="102">
        <f>IF($H186="","",IFERROR(VLOOKUP($H186,'Base Settings'!$A$13:$K$19,5,FALSE),0.2))</f>
        <v/>
      </c>
      <c r="N186" s="102">
        <f>IF($B186="","",IF('Energy Data Input'!$L186="","Missing reading",IF($I186=0,"Stalled reading / possibly offline",IF($K186&gt;=IFERROR(VLOOKUP($H186,'Base Settings'!$A$13:$K$19,6,FALSE),0.5),"Severe spike",IF($K186&gt;=$M186,"Usage spike",IF($K186&lt;=-IFERROR(VLOOKUP($H186,'Base Settings'!$A$13:$K$19,7,FALSE),0.3),"Usage drop",IF($L186&gt;IFERROR(VLOOKUP($H186,'Base Settings'!$A$13:$K$19,8,FALSE),999999),"Area intensity overrun","Normal")))))))</f>
        <v/>
      </c>
      <c r="O186" s="102">
        <f>IF($N186="","",IF($N186="Normal","Normal",IF(OR($N186="Severe spike",$K186&gt;=IFERROR(VLOOKUP($H186,'Base Settings'!$A$13:$K$19,6,FALSE),0.5)),"Severe",IF(OR($N186="Usage spike",$N186="Usage drop"),"High","Medium"))))</f>
        <v/>
      </c>
      <c r="P186" s="144">
        <f>IF(OR($N186="",$N186="Normal"),0,ABS($I186-$J186)*'Energy Data Input'!$O186)</f>
        <v/>
      </c>
      <c r="Q186" s="102">
        <f>IF($N186="Normal","",IF($N186="Stalled reading / possibly offline","核查表计通信/Electricity池/网关/阀门Status",IF(AND($H186="Water",$N186&lt;&gt;"Normal"),"检查管网、阀门、卫生间、冷却塔及夜间最小流量",IF(AND($H186="Electricity",$N186&lt;&gt;"Normal"),"检查空调、照明、生产设备、PeakOff-peak时段与待机功耗",IF(AND($H186="Gas",$N186&lt;&gt;"Normal"),"检查燃Gas阀门、锅炉/厨房设备与泄漏风险","核查设备工况、排班、产量与计量数据")))))</f>
        <v/>
      </c>
      <c r="R186" s="102">
        <f>IF($H186="","",IFERROR(VLOOKUP($H186,'Base Settings'!$A$13:$K$19,11,FALSE),"Energy management owner"))</f>
        <v/>
      </c>
      <c r="S186" s="102">
        <f>IF($N186="","",IF($N186="Normal","No action needed","Open"))</f>
        <v/>
      </c>
      <c r="T186" s="141">
        <f>IF(OR($B186="",$N186="Normal"),"",WORKDAY($B186,IF($O186="Severe",1,IF($O186="High",2,3))))</f>
        <v/>
      </c>
      <c r="U186" s="102">
        <f>IF($T186="","",IF(AND($S186&lt;&gt;"Closed",TODAY()&gt;$T186),"Overdue","Not overdue"))</f>
        <v/>
      </c>
      <c r="V186" s="102" t="n"/>
      <c r="W186" s="141" t="n"/>
      <c r="X186" s="102" t="n"/>
    </row>
    <row r="187">
      <c r="A187" s="102">
        <f>IF('Energy Data Input'!$A187="","","AL-"&amp;TEXT(ROW()-5,"0000"))</f>
        <v/>
      </c>
      <c r="B187" s="141">
        <f>IF('Energy Data Input'!$B187="","",'Energy Data Input'!$B187)</f>
        <v/>
      </c>
      <c r="C187" s="102">
        <f>IF('Energy Data Input'!$C187="","",'Energy Data Input'!$C187)</f>
        <v/>
      </c>
      <c r="D187" s="102">
        <f>IF('Energy Data Input'!$D187="","",'Energy Data Input'!$D187)</f>
        <v/>
      </c>
      <c r="E187" s="102">
        <f>IF('Energy Data Input'!$E187="","",'Energy Data Input'!$E187)</f>
        <v/>
      </c>
      <c r="F187" s="102">
        <f>IF('Energy Data Input'!$G187="","",'Energy Data Input'!$G187)</f>
        <v/>
      </c>
      <c r="G187" s="102">
        <f>IF('Energy Data Input'!$H187="","",'Energy Data Input'!$H187)</f>
        <v/>
      </c>
      <c r="H187" s="102">
        <f>IF('Energy Data Input'!$J187="","",'Energy Data Input'!$J187)</f>
        <v/>
      </c>
      <c r="I187" s="142">
        <f>IF('Energy Data Input'!$N187="","",'Energy Data Input'!$N187)</f>
        <v/>
      </c>
      <c r="J187" s="142">
        <f>IF($B187="","",IFERROR(AVERAGEIFS('Energy Data Input'!$N$6:$N$205,'Energy Data Input'!$B$6:$B$205,"&gt;="&amp;$B187-7,'Energy Data Input'!$B$6:$B$205,"&lt;"&amp;$B187,'Energy Data Input'!$H$6:$H$205,$G187,'Energy Data Input'!$J$6:$J$205,$H187),$I187))</f>
        <v/>
      </c>
      <c r="K187" s="143">
        <f>IFERROR(($I187-$J187)/$J187,"")</f>
        <v/>
      </c>
      <c r="L187" s="102">
        <f>IF('Energy Data Input'!$V187="","",'Energy Data Input'!$V187)</f>
        <v/>
      </c>
      <c r="M187" s="102">
        <f>IF($H187="","",IFERROR(VLOOKUP($H187,'Base Settings'!$A$13:$K$19,5,FALSE),0.2))</f>
        <v/>
      </c>
      <c r="N187" s="102">
        <f>IF($B187="","",IF('Energy Data Input'!$L187="","Missing reading",IF($I187=0,"Stalled reading / possibly offline",IF($K187&gt;=IFERROR(VLOOKUP($H187,'Base Settings'!$A$13:$K$19,6,FALSE),0.5),"Severe spike",IF($K187&gt;=$M187,"Usage spike",IF($K187&lt;=-IFERROR(VLOOKUP($H187,'Base Settings'!$A$13:$K$19,7,FALSE),0.3),"Usage drop",IF($L187&gt;IFERROR(VLOOKUP($H187,'Base Settings'!$A$13:$K$19,8,FALSE),999999),"Area intensity overrun","Normal")))))))</f>
        <v/>
      </c>
      <c r="O187" s="102">
        <f>IF($N187="","",IF($N187="Normal","Normal",IF(OR($N187="Severe spike",$K187&gt;=IFERROR(VLOOKUP($H187,'Base Settings'!$A$13:$K$19,6,FALSE),0.5)),"Severe",IF(OR($N187="Usage spike",$N187="Usage drop"),"High","Medium"))))</f>
        <v/>
      </c>
      <c r="P187" s="144">
        <f>IF(OR($N187="",$N187="Normal"),0,ABS($I187-$J187)*'Energy Data Input'!$O187)</f>
        <v/>
      </c>
      <c r="Q187" s="102">
        <f>IF($N187="Normal","",IF($N187="Stalled reading / possibly offline","核查表计通信/Electricity池/网关/阀门Status",IF(AND($H187="Water",$N187&lt;&gt;"Normal"),"检查管网、阀门、卫生间、冷却塔及夜间最小流量",IF(AND($H187="Electricity",$N187&lt;&gt;"Normal"),"检查空调、照明、生产设备、PeakOff-peak时段与待机功耗",IF(AND($H187="Gas",$N187&lt;&gt;"Normal"),"检查燃Gas阀门、锅炉/厨房设备与泄漏风险","核查设备工况、排班、产量与计量数据")))))</f>
        <v/>
      </c>
      <c r="R187" s="102">
        <f>IF($H187="","",IFERROR(VLOOKUP($H187,'Base Settings'!$A$13:$K$19,11,FALSE),"Energy management owner"))</f>
        <v/>
      </c>
      <c r="S187" s="102">
        <f>IF($N187="","",IF($N187="Normal","No action needed","Open"))</f>
        <v/>
      </c>
      <c r="T187" s="141">
        <f>IF(OR($B187="",$N187="Normal"),"",WORKDAY($B187,IF($O187="Severe",1,IF($O187="High",2,3))))</f>
        <v/>
      </c>
      <c r="U187" s="102">
        <f>IF($T187="","",IF(AND($S187&lt;&gt;"Closed",TODAY()&gt;$T187),"Overdue","Not overdue"))</f>
        <v/>
      </c>
      <c r="V187" s="102" t="n"/>
      <c r="W187" s="141" t="n"/>
      <c r="X187" s="102" t="n"/>
    </row>
    <row r="188">
      <c r="A188" s="102">
        <f>IF('Energy Data Input'!$A188="","","AL-"&amp;TEXT(ROW()-5,"0000"))</f>
        <v/>
      </c>
      <c r="B188" s="141">
        <f>IF('Energy Data Input'!$B188="","",'Energy Data Input'!$B188)</f>
        <v/>
      </c>
      <c r="C188" s="102">
        <f>IF('Energy Data Input'!$C188="","",'Energy Data Input'!$C188)</f>
        <v/>
      </c>
      <c r="D188" s="102">
        <f>IF('Energy Data Input'!$D188="","",'Energy Data Input'!$D188)</f>
        <v/>
      </c>
      <c r="E188" s="102">
        <f>IF('Energy Data Input'!$E188="","",'Energy Data Input'!$E188)</f>
        <v/>
      </c>
      <c r="F188" s="102">
        <f>IF('Energy Data Input'!$G188="","",'Energy Data Input'!$G188)</f>
        <v/>
      </c>
      <c r="G188" s="102">
        <f>IF('Energy Data Input'!$H188="","",'Energy Data Input'!$H188)</f>
        <v/>
      </c>
      <c r="H188" s="102">
        <f>IF('Energy Data Input'!$J188="","",'Energy Data Input'!$J188)</f>
        <v/>
      </c>
      <c r="I188" s="142">
        <f>IF('Energy Data Input'!$N188="","",'Energy Data Input'!$N188)</f>
        <v/>
      </c>
      <c r="J188" s="142">
        <f>IF($B188="","",IFERROR(AVERAGEIFS('Energy Data Input'!$N$6:$N$205,'Energy Data Input'!$B$6:$B$205,"&gt;="&amp;$B188-7,'Energy Data Input'!$B$6:$B$205,"&lt;"&amp;$B188,'Energy Data Input'!$H$6:$H$205,$G188,'Energy Data Input'!$J$6:$J$205,$H188),$I188))</f>
        <v/>
      </c>
      <c r="K188" s="143">
        <f>IFERROR(($I188-$J188)/$J188,"")</f>
        <v/>
      </c>
      <c r="L188" s="102">
        <f>IF('Energy Data Input'!$V188="","",'Energy Data Input'!$V188)</f>
        <v/>
      </c>
      <c r="M188" s="102">
        <f>IF($H188="","",IFERROR(VLOOKUP($H188,'Base Settings'!$A$13:$K$19,5,FALSE),0.2))</f>
        <v/>
      </c>
      <c r="N188" s="102">
        <f>IF($B188="","",IF('Energy Data Input'!$L188="","Missing reading",IF($I188=0,"Stalled reading / possibly offline",IF($K188&gt;=IFERROR(VLOOKUP($H188,'Base Settings'!$A$13:$K$19,6,FALSE),0.5),"Severe spike",IF($K188&gt;=$M188,"Usage spike",IF($K188&lt;=-IFERROR(VLOOKUP($H188,'Base Settings'!$A$13:$K$19,7,FALSE),0.3),"Usage drop",IF($L188&gt;IFERROR(VLOOKUP($H188,'Base Settings'!$A$13:$K$19,8,FALSE),999999),"Area intensity overrun","Normal")))))))</f>
        <v/>
      </c>
      <c r="O188" s="102">
        <f>IF($N188="","",IF($N188="Normal","Normal",IF(OR($N188="Severe spike",$K188&gt;=IFERROR(VLOOKUP($H188,'Base Settings'!$A$13:$K$19,6,FALSE),0.5)),"Severe",IF(OR($N188="Usage spike",$N188="Usage drop"),"High","Medium"))))</f>
        <v/>
      </c>
      <c r="P188" s="144">
        <f>IF(OR($N188="",$N188="Normal"),0,ABS($I188-$J188)*'Energy Data Input'!$O188)</f>
        <v/>
      </c>
      <c r="Q188" s="102">
        <f>IF($N188="Normal","",IF($N188="Stalled reading / possibly offline","核查表计通信/Electricity池/网关/阀门Status",IF(AND($H188="Water",$N188&lt;&gt;"Normal"),"检查管网、阀门、卫生间、冷却塔及夜间最小流量",IF(AND($H188="Electricity",$N188&lt;&gt;"Normal"),"检查空调、照明、生产设备、PeakOff-peak时段与待机功耗",IF(AND($H188="Gas",$N188&lt;&gt;"Normal"),"检查燃Gas阀门、锅炉/厨房设备与泄漏风险","核查设备工况、排班、产量与计量数据")))))</f>
        <v/>
      </c>
      <c r="R188" s="102">
        <f>IF($H188="","",IFERROR(VLOOKUP($H188,'Base Settings'!$A$13:$K$19,11,FALSE),"Energy management owner"))</f>
        <v/>
      </c>
      <c r="S188" s="102">
        <f>IF($N188="","",IF($N188="Normal","No action needed","Open"))</f>
        <v/>
      </c>
      <c r="T188" s="141">
        <f>IF(OR($B188="",$N188="Normal"),"",WORKDAY($B188,IF($O188="Severe",1,IF($O188="High",2,3))))</f>
        <v/>
      </c>
      <c r="U188" s="102">
        <f>IF($T188="","",IF(AND($S188&lt;&gt;"Closed",TODAY()&gt;$T188),"Overdue","Not overdue"))</f>
        <v/>
      </c>
      <c r="V188" s="102" t="n"/>
      <c r="W188" s="141" t="n"/>
      <c r="X188" s="102" t="n"/>
    </row>
    <row r="189">
      <c r="A189" s="102">
        <f>IF('Energy Data Input'!$A189="","","AL-"&amp;TEXT(ROW()-5,"0000"))</f>
        <v/>
      </c>
      <c r="B189" s="141">
        <f>IF('Energy Data Input'!$B189="","",'Energy Data Input'!$B189)</f>
        <v/>
      </c>
      <c r="C189" s="102">
        <f>IF('Energy Data Input'!$C189="","",'Energy Data Input'!$C189)</f>
        <v/>
      </c>
      <c r="D189" s="102">
        <f>IF('Energy Data Input'!$D189="","",'Energy Data Input'!$D189)</f>
        <v/>
      </c>
      <c r="E189" s="102">
        <f>IF('Energy Data Input'!$E189="","",'Energy Data Input'!$E189)</f>
        <v/>
      </c>
      <c r="F189" s="102">
        <f>IF('Energy Data Input'!$G189="","",'Energy Data Input'!$G189)</f>
        <v/>
      </c>
      <c r="G189" s="102">
        <f>IF('Energy Data Input'!$H189="","",'Energy Data Input'!$H189)</f>
        <v/>
      </c>
      <c r="H189" s="102">
        <f>IF('Energy Data Input'!$J189="","",'Energy Data Input'!$J189)</f>
        <v/>
      </c>
      <c r="I189" s="142">
        <f>IF('Energy Data Input'!$N189="","",'Energy Data Input'!$N189)</f>
        <v/>
      </c>
      <c r="J189" s="142">
        <f>IF($B189="","",IFERROR(AVERAGEIFS('Energy Data Input'!$N$6:$N$205,'Energy Data Input'!$B$6:$B$205,"&gt;="&amp;$B189-7,'Energy Data Input'!$B$6:$B$205,"&lt;"&amp;$B189,'Energy Data Input'!$H$6:$H$205,$G189,'Energy Data Input'!$J$6:$J$205,$H189),$I189))</f>
        <v/>
      </c>
      <c r="K189" s="143">
        <f>IFERROR(($I189-$J189)/$J189,"")</f>
        <v/>
      </c>
      <c r="L189" s="102">
        <f>IF('Energy Data Input'!$V189="","",'Energy Data Input'!$V189)</f>
        <v/>
      </c>
      <c r="M189" s="102">
        <f>IF($H189="","",IFERROR(VLOOKUP($H189,'Base Settings'!$A$13:$K$19,5,FALSE),0.2))</f>
        <v/>
      </c>
      <c r="N189" s="102">
        <f>IF($B189="","",IF('Energy Data Input'!$L189="","Missing reading",IF($I189=0,"Stalled reading / possibly offline",IF($K189&gt;=IFERROR(VLOOKUP($H189,'Base Settings'!$A$13:$K$19,6,FALSE),0.5),"Severe spike",IF($K189&gt;=$M189,"Usage spike",IF($K189&lt;=-IFERROR(VLOOKUP($H189,'Base Settings'!$A$13:$K$19,7,FALSE),0.3),"Usage drop",IF($L189&gt;IFERROR(VLOOKUP($H189,'Base Settings'!$A$13:$K$19,8,FALSE),999999),"Area intensity overrun","Normal")))))))</f>
        <v/>
      </c>
      <c r="O189" s="102">
        <f>IF($N189="","",IF($N189="Normal","Normal",IF(OR($N189="Severe spike",$K189&gt;=IFERROR(VLOOKUP($H189,'Base Settings'!$A$13:$K$19,6,FALSE),0.5)),"Severe",IF(OR($N189="Usage spike",$N189="Usage drop"),"High","Medium"))))</f>
        <v/>
      </c>
      <c r="P189" s="144">
        <f>IF(OR($N189="",$N189="Normal"),0,ABS($I189-$J189)*'Energy Data Input'!$O189)</f>
        <v/>
      </c>
      <c r="Q189" s="102">
        <f>IF($N189="Normal","",IF($N189="Stalled reading / possibly offline","核查表计通信/Electricity池/网关/阀门Status",IF(AND($H189="Water",$N189&lt;&gt;"Normal"),"检查管网、阀门、卫生间、冷却塔及夜间最小流量",IF(AND($H189="Electricity",$N189&lt;&gt;"Normal"),"检查空调、照明、生产设备、PeakOff-peak时段与待机功耗",IF(AND($H189="Gas",$N189&lt;&gt;"Normal"),"检查燃Gas阀门、锅炉/厨房设备与泄漏风险","核查设备工况、排班、产量与计量数据")))))</f>
        <v/>
      </c>
      <c r="R189" s="102">
        <f>IF($H189="","",IFERROR(VLOOKUP($H189,'Base Settings'!$A$13:$K$19,11,FALSE),"Energy management owner"))</f>
        <v/>
      </c>
      <c r="S189" s="102">
        <f>IF($N189="","",IF($N189="Normal","No action needed","Open"))</f>
        <v/>
      </c>
      <c r="T189" s="141">
        <f>IF(OR($B189="",$N189="Normal"),"",WORKDAY($B189,IF($O189="Severe",1,IF($O189="High",2,3))))</f>
        <v/>
      </c>
      <c r="U189" s="102">
        <f>IF($T189="","",IF(AND($S189&lt;&gt;"Closed",TODAY()&gt;$T189),"Overdue","Not overdue"))</f>
        <v/>
      </c>
      <c r="V189" s="102" t="n"/>
      <c r="W189" s="141" t="n"/>
      <c r="X189" s="102" t="n"/>
    </row>
    <row r="190">
      <c r="A190" s="102">
        <f>IF('Energy Data Input'!$A190="","","AL-"&amp;TEXT(ROW()-5,"0000"))</f>
        <v/>
      </c>
      <c r="B190" s="141">
        <f>IF('Energy Data Input'!$B190="","",'Energy Data Input'!$B190)</f>
        <v/>
      </c>
      <c r="C190" s="102">
        <f>IF('Energy Data Input'!$C190="","",'Energy Data Input'!$C190)</f>
        <v/>
      </c>
      <c r="D190" s="102">
        <f>IF('Energy Data Input'!$D190="","",'Energy Data Input'!$D190)</f>
        <v/>
      </c>
      <c r="E190" s="102">
        <f>IF('Energy Data Input'!$E190="","",'Energy Data Input'!$E190)</f>
        <v/>
      </c>
      <c r="F190" s="102">
        <f>IF('Energy Data Input'!$G190="","",'Energy Data Input'!$G190)</f>
        <v/>
      </c>
      <c r="G190" s="102">
        <f>IF('Energy Data Input'!$H190="","",'Energy Data Input'!$H190)</f>
        <v/>
      </c>
      <c r="H190" s="102">
        <f>IF('Energy Data Input'!$J190="","",'Energy Data Input'!$J190)</f>
        <v/>
      </c>
      <c r="I190" s="142">
        <f>IF('Energy Data Input'!$N190="","",'Energy Data Input'!$N190)</f>
        <v/>
      </c>
      <c r="J190" s="142">
        <f>IF($B190="","",IFERROR(AVERAGEIFS('Energy Data Input'!$N$6:$N$205,'Energy Data Input'!$B$6:$B$205,"&gt;="&amp;$B190-7,'Energy Data Input'!$B$6:$B$205,"&lt;"&amp;$B190,'Energy Data Input'!$H$6:$H$205,$G190,'Energy Data Input'!$J$6:$J$205,$H190),$I190))</f>
        <v/>
      </c>
      <c r="K190" s="143">
        <f>IFERROR(($I190-$J190)/$J190,"")</f>
        <v/>
      </c>
      <c r="L190" s="102">
        <f>IF('Energy Data Input'!$V190="","",'Energy Data Input'!$V190)</f>
        <v/>
      </c>
      <c r="M190" s="102">
        <f>IF($H190="","",IFERROR(VLOOKUP($H190,'Base Settings'!$A$13:$K$19,5,FALSE),0.2))</f>
        <v/>
      </c>
      <c r="N190" s="102">
        <f>IF($B190="","",IF('Energy Data Input'!$L190="","Missing reading",IF($I190=0,"Stalled reading / possibly offline",IF($K190&gt;=IFERROR(VLOOKUP($H190,'Base Settings'!$A$13:$K$19,6,FALSE),0.5),"Severe spike",IF($K190&gt;=$M190,"Usage spike",IF($K190&lt;=-IFERROR(VLOOKUP($H190,'Base Settings'!$A$13:$K$19,7,FALSE),0.3),"Usage drop",IF($L190&gt;IFERROR(VLOOKUP($H190,'Base Settings'!$A$13:$K$19,8,FALSE),999999),"Area intensity overrun","Normal")))))))</f>
        <v/>
      </c>
      <c r="O190" s="102">
        <f>IF($N190="","",IF($N190="Normal","Normal",IF(OR($N190="Severe spike",$K190&gt;=IFERROR(VLOOKUP($H190,'Base Settings'!$A$13:$K$19,6,FALSE),0.5)),"Severe",IF(OR($N190="Usage spike",$N190="Usage drop"),"High","Medium"))))</f>
        <v/>
      </c>
      <c r="P190" s="144">
        <f>IF(OR($N190="",$N190="Normal"),0,ABS($I190-$J190)*'Energy Data Input'!$O190)</f>
        <v/>
      </c>
      <c r="Q190" s="102">
        <f>IF($N190="Normal","",IF($N190="Stalled reading / possibly offline","核查表计通信/Electricity池/网关/阀门Status",IF(AND($H190="Water",$N190&lt;&gt;"Normal"),"检查管网、阀门、卫生间、冷却塔及夜间最小流量",IF(AND($H190="Electricity",$N190&lt;&gt;"Normal"),"检查空调、照明、生产设备、PeakOff-peak时段与待机功耗",IF(AND($H190="Gas",$N190&lt;&gt;"Normal"),"检查燃Gas阀门、锅炉/厨房设备与泄漏风险","核查设备工况、排班、产量与计量数据")))))</f>
        <v/>
      </c>
      <c r="R190" s="102">
        <f>IF($H190="","",IFERROR(VLOOKUP($H190,'Base Settings'!$A$13:$K$19,11,FALSE),"Energy management owner"))</f>
        <v/>
      </c>
      <c r="S190" s="102">
        <f>IF($N190="","",IF($N190="Normal","No action needed","Open"))</f>
        <v/>
      </c>
      <c r="T190" s="141">
        <f>IF(OR($B190="",$N190="Normal"),"",WORKDAY($B190,IF($O190="Severe",1,IF($O190="High",2,3))))</f>
        <v/>
      </c>
      <c r="U190" s="102">
        <f>IF($T190="","",IF(AND($S190&lt;&gt;"Closed",TODAY()&gt;$T190),"Overdue","Not overdue"))</f>
        <v/>
      </c>
      <c r="V190" s="102" t="n"/>
      <c r="W190" s="141" t="n"/>
      <c r="X190" s="102" t="n"/>
    </row>
    <row r="191">
      <c r="A191" s="102">
        <f>IF('Energy Data Input'!$A191="","","AL-"&amp;TEXT(ROW()-5,"0000"))</f>
        <v/>
      </c>
      <c r="B191" s="141">
        <f>IF('Energy Data Input'!$B191="","",'Energy Data Input'!$B191)</f>
        <v/>
      </c>
      <c r="C191" s="102">
        <f>IF('Energy Data Input'!$C191="","",'Energy Data Input'!$C191)</f>
        <v/>
      </c>
      <c r="D191" s="102">
        <f>IF('Energy Data Input'!$D191="","",'Energy Data Input'!$D191)</f>
        <v/>
      </c>
      <c r="E191" s="102">
        <f>IF('Energy Data Input'!$E191="","",'Energy Data Input'!$E191)</f>
        <v/>
      </c>
      <c r="F191" s="102">
        <f>IF('Energy Data Input'!$G191="","",'Energy Data Input'!$G191)</f>
        <v/>
      </c>
      <c r="G191" s="102">
        <f>IF('Energy Data Input'!$H191="","",'Energy Data Input'!$H191)</f>
        <v/>
      </c>
      <c r="H191" s="102">
        <f>IF('Energy Data Input'!$J191="","",'Energy Data Input'!$J191)</f>
        <v/>
      </c>
      <c r="I191" s="142">
        <f>IF('Energy Data Input'!$N191="","",'Energy Data Input'!$N191)</f>
        <v/>
      </c>
      <c r="J191" s="142">
        <f>IF($B191="","",IFERROR(AVERAGEIFS('Energy Data Input'!$N$6:$N$205,'Energy Data Input'!$B$6:$B$205,"&gt;="&amp;$B191-7,'Energy Data Input'!$B$6:$B$205,"&lt;"&amp;$B191,'Energy Data Input'!$H$6:$H$205,$G191,'Energy Data Input'!$J$6:$J$205,$H191),$I191))</f>
        <v/>
      </c>
      <c r="K191" s="143">
        <f>IFERROR(($I191-$J191)/$J191,"")</f>
        <v/>
      </c>
      <c r="L191" s="102">
        <f>IF('Energy Data Input'!$V191="","",'Energy Data Input'!$V191)</f>
        <v/>
      </c>
      <c r="M191" s="102">
        <f>IF($H191="","",IFERROR(VLOOKUP($H191,'Base Settings'!$A$13:$K$19,5,FALSE),0.2))</f>
        <v/>
      </c>
      <c r="N191" s="102">
        <f>IF($B191="","",IF('Energy Data Input'!$L191="","Missing reading",IF($I191=0,"Stalled reading / possibly offline",IF($K191&gt;=IFERROR(VLOOKUP($H191,'Base Settings'!$A$13:$K$19,6,FALSE),0.5),"Severe spike",IF($K191&gt;=$M191,"Usage spike",IF($K191&lt;=-IFERROR(VLOOKUP($H191,'Base Settings'!$A$13:$K$19,7,FALSE),0.3),"Usage drop",IF($L191&gt;IFERROR(VLOOKUP($H191,'Base Settings'!$A$13:$K$19,8,FALSE),999999),"Area intensity overrun","Normal")))))))</f>
        <v/>
      </c>
      <c r="O191" s="102">
        <f>IF($N191="","",IF($N191="Normal","Normal",IF(OR($N191="Severe spike",$K191&gt;=IFERROR(VLOOKUP($H191,'Base Settings'!$A$13:$K$19,6,FALSE),0.5)),"Severe",IF(OR($N191="Usage spike",$N191="Usage drop"),"High","Medium"))))</f>
        <v/>
      </c>
      <c r="P191" s="144">
        <f>IF(OR($N191="",$N191="Normal"),0,ABS($I191-$J191)*'Energy Data Input'!$O191)</f>
        <v/>
      </c>
      <c r="Q191" s="102">
        <f>IF($N191="Normal","",IF($N191="Stalled reading / possibly offline","核查表计通信/Electricity池/网关/阀门Status",IF(AND($H191="Water",$N191&lt;&gt;"Normal"),"检查管网、阀门、卫生间、冷却塔及夜间最小流量",IF(AND($H191="Electricity",$N191&lt;&gt;"Normal"),"检查空调、照明、生产设备、PeakOff-peak时段与待机功耗",IF(AND($H191="Gas",$N191&lt;&gt;"Normal"),"检查燃Gas阀门、锅炉/厨房设备与泄漏风险","核查设备工况、排班、产量与计量数据")))))</f>
        <v/>
      </c>
      <c r="R191" s="102">
        <f>IF($H191="","",IFERROR(VLOOKUP($H191,'Base Settings'!$A$13:$K$19,11,FALSE),"Energy management owner"))</f>
        <v/>
      </c>
      <c r="S191" s="102">
        <f>IF($N191="","",IF($N191="Normal","No action needed","Open"))</f>
        <v/>
      </c>
      <c r="T191" s="141">
        <f>IF(OR($B191="",$N191="Normal"),"",WORKDAY($B191,IF($O191="Severe",1,IF($O191="High",2,3))))</f>
        <v/>
      </c>
      <c r="U191" s="102">
        <f>IF($T191="","",IF(AND($S191&lt;&gt;"Closed",TODAY()&gt;$T191),"Overdue","Not overdue"))</f>
        <v/>
      </c>
      <c r="V191" s="102" t="n"/>
      <c r="W191" s="141" t="n"/>
      <c r="X191" s="102" t="n"/>
    </row>
    <row r="192">
      <c r="A192" s="102">
        <f>IF('Energy Data Input'!$A192="","","AL-"&amp;TEXT(ROW()-5,"0000"))</f>
        <v/>
      </c>
      <c r="B192" s="141">
        <f>IF('Energy Data Input'!$B192="","",'Energy Data Input'!$B192)</f>
        <v/>
      </c>
      <c r="C192" s="102">
        <f>IF('Energy Data Input'!$C192="","",'Energy Data Input'!$C192)</f>
        <v/>
      </c>
      <c r="D192" s="102">
        <f>IF('Energy Data Input'!$D192="","",'Energy Data Input'!$D192)</f>
        <v/>
      </c>
      <c r="E192" s="102">
        <f>IF('Energy Data Input'!$E192="","",'Energy Data Input'!$E192)</f>
        <v/>
      </c>
      <c r="F192" s="102">
        <f>IF('Energy Data Input'!$G192="","",'Energy Data Input'!$G192)</f>
        <v/>
      </c>
      <c r="G192" s="102">
        <f>IF('Energy Data Input'!$H192="","",'Energy Data Input'!$H192)</f>
        <v/>
      </c>
      <c r="H192" s="102">
        <f>IF('Energy Data Input'!$J192="","",'Energy Data Input'!$J192)</f>
        <v/>
      </c>
      <c r="I192" s="142">
        <f>IF('Energy Data Input'!$N192="","",'Energy Data Input'!$N192)</f>
        <v/>
      </c>
      <c r="J192" s="142">
        <f>IF($B192="","",IFERROR(AVERAGEIFS('Energy Data Input'!$N$6:$N$205,'Energy Data Input'!$B$6:$B$205,"&gt;="&amp;$B192-7,'Energy Data Input'!$B$6:$B$205,"&lt;"&amp;$B192,'Energy Data Input'!$H$6:$H$205,$G192,'Energy Data Input'!$J$6:$J$205,$H192),$I192))</f>
        <v/>
      </c>
      <c r="K192" s="143">
        <f>IFERROR(($I192-$J192)/$J192,"")</f>
        <v/>
      </c>
      <c r="L192" s="102">
        <f>IF('Energy Data Input'!$V192="","",'Energy Data Input'!$V192)</f>
        <v/>
      </c>
      <c r="M192" s="102">
        <f>IF($H192="","",IFERROR(VLOOKUP($H192,'Base Settings'!$A$13:$K$19,5,FALSE),0.2))</f>
        <v/>
      </c>
      <c r="N192" s="102">
        <f>IF($B192="","",IF('Energy Data Input'!$L192="","Missing reading",IF($I192=0,"Stalled reading / possibly offline",IF($K192&gt;=IFERROR(VLOOKUP($H192,'Base Settings'!$A$13:$K$19,6,FALSE),0.5),"Severe spike",IF($K192&gt;=$M192,"Usage spike",IF($K192&lt;=-IFERROR(VLOOKUP($H192,'Base Settings'!$A$13:$K$19,7,FALSE),0.3),"Usage drop",IF($L192&gt;IFERROR(VLOOKUP($H192,'Base Settings'!$A$13:$K$19,8,FALSE),999999),"Area intensity overrun","Normal")))))))</f>
        <v/>
      </c>
      <c r="O192" s="102">
        <f>IF($N192="","",IF($N192="Normal","Normal",IF(OR($N192="Severe spike",$K192&gt;=IFERROR(VLOOKUP($H192,'Base Settings'!$A$13:$K$19,6,FALSE),0.5)),"Severe",IF(OR($N192="Usage spike",$N192="Usage drop"),"High","Medium"))))</f>
        <v/>
      </c>
      <c r="P192" s="144">
        <f>IF(OR($N192="",$N192="Normal"),0,ABS($I192-$J192)*'Energy Data Input'!$O192)</f>
        <v/>
      </c>
      <c r="Q192" s="102">
        <f>IF($N192="Normal","",IF($N192="Stalled reading / possibly offline","核查表计通信/Electricity池/网关/阀门Status",IF(AND($H192="Water",$N192&lt;&gt;"Normal"),"检查管网、阀门、卫生间、冷却塔及夜间最小流量",IF(AND($H192="Electricity",$N192&lt;&gt;"Normal"),"检查空调、照明、生产设备、PeakOff-peak时段与待机功耗",IF(AND($H192="Gas",$N192&lt;&gt;"Normal"),"检查燃Gas阀门、锅炉/厨房设备与泄漏风险","核查设备工况、排班、产量与计量数据")))))</f>
        <v/>
      </c>
      <c r="R192" s="102">
        <f>IF($H192="","",IFERROR(VLOOKUP($H192,'Base Settings'!$A$13:$K$19,11,FALSE),"Energy management owner"))</f>
        <v/>
      </c>
      <c r="S192" s="102">
        <f>IF($N192="","",IF($N192="Normal","No action needed","Open"))</f>
        <v/>
      </c>
      <c r="T192" s="141">
        <f>IF(OR($B192="",$N192="Normal"),"",WORKDAY($B192,IF($O192="Severe",1,IF($O192="High",2,3))))</f>
        <v/>
      </c>
      <c r="U192" s="102">
        <f>IF($T192="","",IF(AND($S192&lt;&gt;"Closed",TODAY()&gt;$T192),"Overdue","Not overdue"))</f>
        <v/>
      </c>
      <c r="V192" s="102" t="n"/>
      <c r="W192" s="141" t="n"/>
      <c r="X192" s="102" t="n"/>
    </row>
    <row r="193">
      <c r="A193" s="102">
        <f>IF('Energy Data Input'!$A193="","","AL-"&amp;TEXT(ROW()-5,"0000"))</f>
        <v/>
      </c>
      <c r="B193" s="141">
        <f>IF('Energy Data Input'!$B193="","",'Energy Data Input'!$B193)</f>
        <v/>
      </c>
      <c r="C193" s="102">
        <f>IF('Energy Data Input'!$C193="","",'Energy Data Input'!$C193)</f>
        <v/>
      </c>
      <c r="D193" s="102">
        <f>IF('Energy Data Input'!$D193="","",'Energy Data Input'!$D193)</f>
        <v/>
      </c>
      <c r="E193" s="102">
        <f>IF('Energy Data Input'!$E193="","",'Energy Data Input'!$E193)</f>
        <v/>
      </c>
      <c r="F193" s="102">
        <f>IF('Energy Data Input'!$G193="","",'Energy Data Input'!$G193)</f>
        <v/>
      </c>
      <c r="G193" s="102">
        <f>IF('Energy Data Input'!$H193="","",'Energy Data Input'!$H193)</f>
        <v/>
      </c>
      <c r="H193" s="102">
        <f>IF('Energy Data Input'!$J193="","",'Energy Data Input'!$J193)</f>
        <v/>
      </c>
      <c r="I193" s="142">
        <f>IF('Energy Data Input'!$N193="","",'Energy Data Input'!$N193)</f>
        <v/>
      </c>
      <c r="J193" s="142">
        <f>IF($B193="","",IFERROR(AVERAGEIFS('Energy Data Input'!$N$6:$N$205,'Energy Data Input'!$B$6:$B$205,"&gt;="&amp;$B193-7,'Energy Data Input'!$B$6:$B$205,"&lt;"&amp;$B193,'Energy Data Input'!$H$6:$H$205,$G193,'Energy Data Input'!$J$6:$J$205,$H193),$I193))</f>
        <v/>
      </c>
      <c r="K193" s="143">
        <f>IFERROR(($I193-$J193)/$J193,"")</f>
        <v/>
      </c>
      <c r="L193" s="102">
        <f>IF('Energy Data Input'!$V193="","",'Energy Data Input'!$V193)</f>
        <v/>
      </c>
      <c r="M193" s="102">
        <f>IF($H193="","",IFERROR(VLOOKUP($H193,'Base Settings'!$A$13:$K$19,5,FALSE),0.2))</f>
        <v/>
      </c>
      <c r="N193" s="102">
        <f>IF($B193="","",IF('Energy Data Input'!$L193="","Missing reading",IF($I193=0,"Stalled reading / possibly offline",IF($K193&gt;=IFERROR(VLOOKUP($H193,'Base Settings'!$A$13:$K$19,6,FALSE),0.5),"Severe spike",IF($K193&gt;=$M193,"Usage spike",IF($K193&lt;=-IFERROR(VLOOKUP($H193,'Base Settings'!$A$13:$K$19,7,FALSE),0.3),"Usage drop",IF($L193&gt;IFERROR(VLOOKUP($H193,'Base Settings'!$A$13:$K$19,8,FALSE),999999),"Area intensity overrun","Normal")))))))</f>
        <v/>
      </c>
      <c r="O193" s="102">
        <f>IF($N193="","",IF($N193="Normal","Normal",IF(OR($N193="Severe spike",$K193&gt;=IFERROR(VLOOKUP($H193,'Base Settings'!$A$13:$K$19,6,FALSE),0.5)),"Severe",IF(OR($N193="Usage spike",$N193="Usage drop"),"High","Medium"))))</f>
        <v/>
      </c>
      <c r="P193" s="144">
        <f>IF(OR($N193="",$N193="Normal"),0,ABS($I193-$J193)*'Energy Data Input'!$O193)</f>
        <v/>
      </c>
      <c r="Q193" s="102">
        <f>IF($N193="Normal","",IF($N193="Stalled reading / possibly offline","核查表计通信/Electricity池/网关/阀门Status",IF(AND($H193="Water",$N193&lt;&gt;"Normal"),"检查管网、阀门、卫生间、冷却塔及夜间最小流量",IF(AND($H193="Electricity",$N193&lt;&gt;"Normal"),"检查空调、照明、生产设备、PeakOff-peak时段与待机功耗",IF(AND($H193="Gas",$N193&lt;&gt;"Normal"),"检查燃Gas阀门、锅炉/厨房设备与泄漏风险","核查设备工况、排班、产量与计量数据")))))</f>
        <v/>
      </c>
      <c r="R193" s="102">
        <f>IF($H193="","",IFERROR(VLOOKUP($H193,'Base Settings'!$A$13:$K$19,11,FALSE),"Energy management owner"))</f>
        <v/>
      </c>
      <c r="S193" s="102">
        <f>IF($N193="","",IF($N193="Normal","No action needed","Open"))</f>
        <v/>
      </c>
      <c r="T193" s="141">
        <f>IF(OR($B193="",$N193="Normal"),"",WORKDAY($B193,IF($O193="Severe",1,IF($O193="High",2,3))))</f>
        <v/>
      </c>
      <c r="U193" s="102">
        <f>IF($T193="","",IF(AND($S193&lt;&gt;"Closed",TODAY()&gt;$T193),"Overdue","Not overdue"))</f>
        <v/>
      </c>
      <c r="V193" s="102" t="n"/>
      <c r="W193" s="141" t="n"/>
      <c r="X193" s="102" t="n"/>
    </row>
    <row r="194">
      <c r="A194" s="102">
        <f>IF('Energy Data Input'!$A194="","","AL-"&amp;TEXT(ROW()-5,"0000"))</f>
        <v/>
      </c>
      <c r="B194" s="141">
        <f>IF('Energy Data Input'!$B194="","",'Energy Data Input'!$B194)</f>
        <v/>
      </c>
      <c r="C194" s="102">
        <f>IF('Energy Data Input'!$C194="","",'Energy Data Input'!$C194)</f>
        <v/>
      </c>
      <c r="D194" s="102">
        <f>IF('Energy Data Input'!$D194="","",'Energy Data Input'!$D194)</f>
        <v/>
      </c>
      <c r="E194" s="102">
        <f>IF('Energy Data Input'!$E194="","",'Energy Data Input'!$E194)</f>
        <v/>
      </c>
      <c r="F194" s="102">
        <f>IF('Energy Data Input'!$G194="","",'Energy Data Input'!$G194)</f>
        <v/>
      </c>
      <c r="G194" s="102">
        <f>IF('Energy Data Input'!$H194="","",'Energy Data Input'!$H194)</f>
        <v/>
      </c>
      <c r="H194" s="102">
        <f>IF('Energy Data Input'!$J194="","",'Energy Data Input'!$J194)</f>
        <v/>
      </c>
      <c r="I194" s="142">
        <f>IF('Energy Data Input'!$N194="","",'Energy Data Input'!$N194)</f>
        <v/>
      </c>
      <c r="J194" s="142">
        <f>IF($B194="","",IFERROR(AVERAGEIFS('Energy Data Input'!$N$6:$N$205,'Energy Data Input'!$B$6:$B$205,"&gt;="&amp;$B194-7,'Energy Data Input'!$B$6:$B$205,"&lt;"&amp;$B194,'Energy Data Input'!$H$6:$H$205,$G194,'Energy Data Input'!$J$6:$J$205,$H194),$I194))</f>
        <v/>
      </c>
      <c r="K194" s="143">
        <f>IFERROR(($I194-$J194)/$J194,"")</f>
        <v/>
      </c>
      <c r="L194" s="102">
        <f>IF('Energy Data Input'!$V194="","",'Energy Data Input'!$V194)</f>
        <v/>
      </c>
      <c r="M194" s="102">
        <f>IF($H194="","",IFERROR(VLOOKUP($H194,'Base Settings'!$A$13:$K$19,5,FALSE),0.2))</f>
        <v/>
      </c>
      <c r="N194" s="102">
        <f>IF($B194="","",IF('Energy Data Input'!$L194="","Missing reading",IF($I194=0,"Stalled reading / possibly offline",IF($K194&gt;=IFERROR(VLOOKUP($H194,'Base Settings'!$A$13:$K$19,6,FALSE),0.5),"Severe spike",IF($K194&gt;=$M194,"Usage spike",IF($K194&lt;=-IFERROR(VLOOKUP($H194,'Base Settings'!$A$13:$K$19,7,FALSE),0.3),"Usage drop",IF($L194&gt;IFERROR(VLOOKUP($H194,'Base Settings'!$A$13:$K$19,8,FALSE),999999),"Area intensity overrun","Normal")))))))</f>
        <v/>
      </c>
      <c r="O194" s="102">
        <f>IF($N194="","",IF($N194="Normal","Normal",IF(OR($N194="Severe spike",$K194&gt;=IFERROR(VLOOKUP($H194,'Base Settings'!$A$13:$K$19,6,FALSE),0.5)),"Severe",IF(OR($N194="Usage spike",$N194="Usage drop"),"High","Medium"))))</f>
        <v/>
      </c>
      <c r="P194" s="144">
        <f>IF(OR($N194="",$N194="Normal"),0,ABS($I194-$J194)*'Energy Data Input'!$O194)</f>
        <v/>
      </c>
      <c r="Q194" s="102">
        <f>IF($N194="Normal","",IF($N194="Stalled reading / possibly offline","核查表计通信/Electricity池/网关/阀门Status",IF(AND($H194="Water",$N194&lt;&gt;"Normal"),"检查管网、阀门、卫生间、冷却塔及夜间最小流量",IF(AND($H194="Electricity",$N194&lt;&gt;"Normal"),"检查空调、照明、生产设备、PeakOff-peak时段与待机功耗",IF(AND($H194="Gas",$N194&lt;&gt;"Normal"),"检查燃Gas阀门、锅炉/厨房设备与泄漏风险","核查设备工况、排班、产量与计量数据")))))</f>
        <v/>
      </c>
      <c r="R194" s="102">
        <f>IF($H194="","",IFERROR(VLOOKUP($H194,'Base Settings'!$A$13:$K$19,11,FALSE),"Energy management owner"))</f>
        <v/>
      </c>
      <c r="S194" s="102">
        <f>IF($N194="","",IF($N194="Normal","No action needed","Open"))</f>
        <v/>
      </c>
      <c r="T194" s="141">
        <f>IF(OR($B194="",$N194="Normal"),"",WORKDAY($B194,IF($O194="Severe",1,IF($O194="High",2,3))))</f>
        <v/>
      </c>
      <c r="U194" s="102">
        <f>IF($T194="","",IF(AND($S194&lt;&gt;"Closed",TODAY()&gt;$T194),"Overdue","Not overdue"))</f>
        <v/>
      </c>
      <c r="V194" s="102" t="n"/>
      <c r="W194" s="141" t="n"/>
      <c r="X194" s="102" t="n"/>
    </row>
    <row r="195">
      <c r="A195" s="102">
        <f>IF('Energy Data Input'!$A195="","","AL-"&amp;TEXT(ROW()-5,"0000"))</f>
        <v/>
      </c>
      <c r="B195" s="141">
        <f>IF('Energy Data Input'!$B195="","",'Energy Data Input'!$B195)</f>
        <v/>
      </c>
      <c r="C195" s="102">
        <f>IF('Energy Data Input'!$C195="","",'Energy Data Input'!$C195)</f>
        <v/>
      </c>
      <c r="D195" s="102">
        <f>IF('Energy Data Input'!$D195="","",'Energy Data Input'!$D195)</f>
        <v/>
      </c>
      <c r="E195" s="102">
        <f>IF('Energy Data Input'!$E195="","",'Energy Data Input'!$E195)</f>
        <v/>
      </c>
      <c r="F195" s="102">
        <f>IF('Energy Data Input'!$G195="","",'Energy Data Input'!$G195)</f>
        <v/>
      </c>
      <c r="G195" s="102">
        <f>IF('Energy Data Input'!$H195="","",'Energy Data Input'!$H195)</f>
        <v/>
      </c>
      <c r="H195" s="102">
        <f>IF('Energy Data Input'!$J195="","",'Energy Data Input'!$J195)</f>
        <v/>
      </c>
      <c r="I195" s="142">
        <f>IF('Energy Data Input'!$N195="","",'Energy Data Input'!$N195)</f>
        <v/>
      </c>
      <c r="J195" s="142">
        <f>IF($B195="","",IFERROR(AVERAGEIFS('Energy Data Input'!$N$6:$N$205,'Energy Data Input'!$B$6:$B$205,"&gt;="&amp;$B195-7,'Energy Data Input'!$B$6:$B$205,"&lt;"&amp;$B195,'Energy Data Input'!$H$6:$H$205,$G195,'Energy Data Input'!$J$6:$J$205,$H195),$I195))</f>
        <v/>
      </c>
      <c r="K195" s="143">
        <f>IFERROR(($I195-$J195)/$J195,"")</f>
        <v/>
      </c>
      <c r="L195" s="102">
        <f>IF('Energy Data Input'!$V195="","",'Energy Data Input'!$V195)</f>
        <v/>
      </c>
      <c r="M195" s="102">
        <f>IF($H195="","",IFERROR(VLOOKUP($H195,'Base Settings'!$A$13:$K$19,5,FALSE),0.2))</f>
        <v/>
      </c>
      <c r="N195" s="102">
        <f>IF($B195="","",IF('Energy Data Input'!$L195="","Missing reading",IF($I195=0,"Stalled reading / possibly offline",IF($K195&gt;=IFERROR(VLOOKUP($H195,'Base Settings'!$A$13:$K$19,6,FALSE),0.5),"Severe spike",IF($K195&gt;=$M195,"Usage spike",IF($K195&lt;=-IFERROR(VLOOKUP($H195,'Base Settings'!$A$13:$K$19,7,FALSE),0.3),"Usage drop",IF($L195&gt;IFERROR(VLOOKUP($H195,'Base Settings'!$A$13:$K$19,8,FALSE),999999),"Area intensity overrun","Normal")))))))</f>
        <v/>
      </c>
      <c r="O195" s="102">
        <f>IF($N195="","",IF($N195="Normal","Normal",IF(OR($N195="Severe spike",$K195&gt;=IFERROR(VLOOKUP($H195,'Base Settings'!$A$13:$K$19,6,FALSE),0.5)),"Severe",IF(OR($N195="Usage spike",$N195="Usage drop"),"High","Medium"))))</f>
        <v/>
      </c>
      <c r="P195" s="144">
        <f>IF(OR($N195="",$N195="Normal"),0,ABS($I195-$J195)*'Energy Data Input'!$O195)</f>
        <v/>
      </c>
      <c r="Q195" s="102">
        <f>IF($N195="Normal","",IF($N195="Stalled reading / possibly offline","核查表计通信/Electricity池/网关/阀门Status",IF(AND($H195="Water",$N195&lt;&gt;"Normal"),"检查管网、阀门、卫生间、冷却塔及夜间最小流量",IF(AND($H195="Electricity",$N195&lt;&gt;"Normal"),"检查空调、照明、生产设备、PeakOff-peak时段与待机功耗",IF(AND($H195="Gas",$N195&lt;&gt;"Normal"),"检查燃Gas阀门、锅炉/厨房设备与泄漏风险","核查设备工况、排班、产量与计量数据")))))</f>
        <v/>
      </c>
      <c r="R195" s="102">
        <f>IF($H195="","",IFERROR(VLOOKUP($H195,'Base Settings'!$A$13:$K$19,11,FALSE),"Energy management owner"))</f>
        <v/>
      </c>
      <c r="S195" s="102">
        <f>IF($N195="","",IF($N195="Normal","No action needed","Open"))</f>
        <v/>
      </c>
      <c r="T195" s="141">
        <f>IF(OR($B195="",$N195="Normal"),"",WORKDAY($B195,IF($O195="Severe",1,IF($O195="High",2,3))))</f>
        <v/>
      </c>
      <c r="U195" s="102">
        <f>IF($T195="","",IF(AND($S195&lt;&gt;"Closed",TODAY()&gt;$T195),"Overdue","Not overdue"))</f>
        <v/>
      </c>
      <c r="V195" s="102" t="n"/>
      <c r="W195" s="141" t="n"/>
      <c r="X195" s="102" t="n"/>
    </row>
    <row r="196">
      <c r="A196" s="102">
        <f>IF('Energy Data Input'!$A196="","","AL-"&amp;TEXT(ROW()-5,"0000"))</f>
        <v/>
      </c>
      <c r="B196" s="141">
        <f>IF('Energy Data Input'!$B196="","",'Energy Data Input'!$B196)</f>
        <v/>
      </c>
      <c r="C196" s="102">
        <f>IF('Energy Data Input'!$C196="","",'Energy Data Input'!$C196)</f>
        <v/>
      </c>
      <c r="D196" s="102">
        <f>IF('Energy Data Input'!$D196="","",'Energy Data Input'!$D196)</f>
        <v/>
      </c>
      <c r="E196" s="102">
        <f>IF('Energy Data Input'!$E196="","",'Energy Data Input'!$E196)</f>
        <v/>
      </c>
      <c r="F196" s="102">
        <f>IF('Energy Data Input'!$G196="","",'Energy Data Input'!$G196)</f>
        <v/>
      </c>
      <c r="G196" s="102">
        <f>IF('Energy Data Input'!$H196="","",'Energy Data Input'!$H196)</f>
        <v/>
      </c>
      <c r="H196" s="102">
        <f>IF('Energy Data Input'!$J196="","",'Energy Data Input'!$J196)</f>
        <v/>
      </c>
      <c r="I196" s="142">
        <f>IF('Energy Data Input'!$N196="","",'Energy Data Input'!$N196)</f>
        <v/>
      </c>
      <c r="J196" s="142">
        <f>IF($B196="","",IFERROR(AVERAGEIFS('Energy Data Input'!$N$6:$N$205,'Energy Data Input'!$B$6:$B$205,"&gt;="&amp;$B196-7,'Energy Data Input'!$B$6:$B$205,"&lt;"&amp;$B196,'Energy Data Input'!$H$6:$H$205,$G196,'Energy Data Input'!$J$6:$J$205,$H196),$I196))</f>
        <v/>
      </c>
      <c r="K196" s="143">
        <f>IFERROR(($I196-$J196)/$J196,"")</f>
        <v/>
      </c>
      <c r="L196" s="102">
        <f>IF('Energy Data Input'!$V196="","",'Energy Data Input'!$V196)</f>
        <v/>
      </c>
      <c r="M196" s="102">
        <f>IF($H196="","",IFERROR(VLOOKUP($H196,'Base Settings'!$A$13:$K$19,5,FALSE),0.2))</f>
        <v/>
      </c>
      <c r="N196" s="102">
        <f>IF($B196="","",IF('Energy Data Input'!$L196="","Missing reading",IF($I196=0,"Stalled reading / possibly offline",IF($K196&gt;=IFERROR(VLOOKUP($H196,'Base Settings'!$A$13:$K$19,6,FALSE),0.5),"Severe spike",IF($K196&gt;=$M196,"Usage spike",IF($K196&lt;=-IFERROR(VLOOKUP($H196,'Base Settings'!$A$13:$K$19,7,FALSE),0.3),"Usage drop",IF($L196&gt;IFERROR(VLOOKUP($H196,'Base Settings'!$A$13:$K$19,8,FALSE),999999),"Area intensity overrun","Normal")))))))</f>
        <v/>
      </c>
      <c r="O196" s="102">
        <f>IF($N196="","",IF($N196="Normal","Normal",IF(OR($N196="Severe spike",$K196&gt;=IFERROR(VLOOKUP($H196,'Base Settings'!$A$13:$K$19,6,FALSE),0.5)),"Severe",IF(OR($N196="Usage spike",$N196="Usage drop"),"High","Medium"))))</f>
        <v/>
      </c>
      <c r="P196" s="144">
        <f>IF(OR($N196="",$N196="Normal"),0,ABS($I196-$J196)*'Energy Data Input'!$O196)</f>
        <v/>
      </c>
      <c r="Q196" s="102">
        <f>IF($N196="Normal","",IF($N196="Stalled reading / possibly offline","核查表计通信/Electricity池/网关/阀门Status",IF(AND($H196="Water",$N196&lt;&gt;"Normal"),"检查管网、阀门、卫生间、冷却塔及夜间最小流量",IF(AND($H196="Electricity",$N196&lt;&gt;"Normal"),"检查空调、照明、生产设备、PeakOff-peak时段与待机功耗",IF(AND($H196="Gas",$N196&lt;&gt;"Normal"),"检查燃Gas阀门、锅炉/厨房设备与泄漏风险","核查设备工况、排班、产量与计量数据")))))</f>
        <v/>
      </c>
      <c r="R196" s="102">
        <f>IF($H196="","",IFERROR(VLOOKUP($H196,'Base Settings'!$A$13:$K$19,11,FALSE),"Energy management owner"))</f>
        <v/>
      </c>
      <c r="S196" s="102">
        <f>IF($N196="","",IF($N196="Normal","No action needed","Open"))</f>
        <v/>
      </c>
      <c r="T196" s="141">
        <f>IF(OR($B196="",$N196="Normal"),"",WORKDAY($B196,IF($O196="Severe",1,IF($O196="High",2,3))))</f>
        <v/>
      </c>
      <c r="U196" s="102">
        <f>IF($T196="","",IF(AND($S196&lt;&gt;"Closed",TODAY()&gt;$T196),"Overdue","Not overdue"))</f>
        <v/>
      </c>
      <c r="V196" s="102" t="n"/>
      <c r="W196" s="141" t="n"/>
      <c r="X196" s="102" t="n"/>
    </row>
    <row r="197">
      <c r="A197" s="102">
        <f>IF('Energy Data Input'!$A197="","","AL-"&amp;TEXT(ROW()-5,"0000"))</f>
        <v/>
      </c>
      <c r="B197" s="141">
        <f>IF('Energy Data Input'!$B197="","",'Energy Data Input'!$B197)</f>
        <v/>
      </c>
      <c r="C197" s="102">
        <f>IF('Energy Data Input'!$C197="","",'Energy Data Input'!$C197)</f>
        <v/>
      </c>
      <c r="D197" s="102">
        <f>IF('Energy Data Input'!$D197="","",'Energy Data Input'!$D197)</f>
        <v/>
      </c>
      <c r="E197" s="102">
        <f>IF('Energy Data Input'!$E197="","",'Energy Data Input'!$E197)</f>
        <v/>
      </c>
      <c r="F197" s="102">
        <f>IF('Energy Data Input'!$G197="","",'Energy Data Input'!$G197)</f>
        <v/>
      </c>
      <c r="G197" s="102">
        <f>IF('Energy Data Input'!$H197="","",'Energy Data Input'!$H197)</f>
        <v/>
      </c>
      <c r="H197" s="102">
        <f>IF('Energy Data Input'!$J197="","",'Energy Data Input'!$J197)</f>
        <v/>
      </c>
      <c r="I197" s="142">
        <f>IF('Energy Data Input'!$N197="","",'Energy Data Input'!$N197)</f>
        <v/>
      </c>
      <c r="J197" s="142">
        <f>IF($B197="","",IFERROR(AVERAGEIFS('Energy Data Input'!$N$6:$N$205,'Energy Data Input'!$B$6:$B$205,"&gt;="&amp;$B197-7,'Energy Data Input'!$B$6:$B$205,"&lt;"&amp;$B197,'Energy Data Input'!$H$6:$H$205,$G197,'Energy Data Input'!$J$6:$J$205,$H197),$I197))</f>
        <v/>
      </c>
      <c r="K197" s="143">
        <f>IFERROR(($I197-$J197)/$J197,"")</f>
        <v/>
      </c>
      <c r="L197" s="102">
        <f>IF('Energy Data Input'!$V197="","",'Energy Data Input'!$V197)</f>
        <v/>
      </c>
      <c r="M197" s="102">
        <f>IF($H197="","",IFERROR(VLOOKUP($H197,'Base Settings'!$A$13:$K$19,5,FALSE),0.2))</f>
        <v/>
      </c>
      <c r="N197" s="102">
        <f>IF($B197="","",IF('Energy Data Input'!$L197="","Missing reading",IF($I197=0,"Stalled reading / possibly offline",IF($K197&gt;=IFERROR(VLOOKUP($H197,'Base Settings'!$A$13:$K$19,6,FALSE),0.5),"Severe spike",IF($K197&gt;=$M197,"Usage spike",IF($K197&lt;=-IFERROR(VLOOKUP($H197,'Base Settings'!$A$13:$K$19,7,FALSE),0.3),"Usage drop",IF($L197&gt;IFERROR(VLOOKUP($H197,'Base Settings'!$A$13:$K$19,8,FALSE),999999),"Area intensity overrun","Normal")))))))</f>
        <v/>
      </c>
      <c r="O197" s="102">
        <f>IF($N197="","",IF($N197="Normal","Normal",IF(OR($N197="Severe spike",$K197&gt;=IFERROR(VLOOKUP($H197,'Base Settings'!$A$13:$K$19,6,FALSE),0.5)),"Severe",IF(OR($N197="Usage spike",$N197="Usage drop"),"High","Medium"))))</f>
        <v/>
      </c>
      <c r="P197" s="144">
        <f>IF(OR($N197="",$N197="Normal"),0,ABS($I197-$J197)*'Energy Data Input'!$O197)</f>
        <v/>
      </c>
      <c r="Q197" s="102">
        <f>IF($N197="Normal","",IF($N197="Stalled reading / possibly offline","核查表计通信/Electricity池/网关/阀门Status",IF(AND($H197="Water",$N197&lt;&gt;"Normal"),"检查管网、阀门、卫生间、冷却塔及夜间最小流量",IF(AND($H197="Electricity",$N197&lt;&gt;"Normal"),"检查空调、照明、生产设备、PeakOff-peak时段与待机功耗",IF(AND($H197="Gas",$N197&lt;&gt;"Normal"),"检查燃Gas阀门、锅炉/厨房设备与泄漏风险","核查设备工况、排班、产量与计量数据")))))</f>
        <v/>
      </c>
      <c r="R197" s="102">
        <f>IF($H197="","",IFERROR(VLOOKUP($H197,'Base Settings'!$A$13:$K$19,11,FALSE),"Energy management owner"))</f>
        <v/>
      </c>
      <c r="S197" s="102">
        <f>IF($N197="","",IF($N197="Normal","No action needed","Open"))</f>
        <v/>
      </c>
      <c r="T197" s="141">
        <f>IF(OR($B197="",$N197="Normal"),"",WORKDAY($B197,IF($O197="Severe",1,IF($O197="High",2,3))))</f>
        <v/>
      </c>
      <c r="U197" s="102">
        <f>IF($T197="","",IF(AND($S197&lt;&gt;"Closed",TODAY()&gt;$T197),"Overdue","Not overdue"))</f>
        <v/>
      </c>
      <c r="V197" s="102" t="n"/>
      <c r="W197" s="141" t="n"/>
      <c r="X197" s="102" t="n"/>
    </row>
    <row r="198">
      <c r="A198" s="102">
        <f>IF('Energy Data Input'!$A198="","","AL-"&amp;TEXT(ROW()-5,"0000"))</f>
        <v/>
      </c>
      <c r="B198" s="141">
        <f>IF('Energy Data Input'!$B198="","",'Energy Data Input'!$B198)</f>
        <v/>
      </c>
      <c r="C198" s="102">
        <f>IF('Energy Data Input'!$C198="","",'Energy Data Input'!$C198)</f>
        <v/>
      </c>
      <c r="D198" s="102">
        <f>IF('Energy Data Input'!$D198="","",'Energy Data Input'!$D198)</f>
        <v/>
      </c>
      <c r="E198" s="102">
        <f>IF('Energy Data Input'!$E198="","",'Energy Data Input'!$E198)</f>
        <v/>
      </c>
      <c r="F198" s="102">
        <f>IF('Energy Data Input'!$G198="","",'Energy Data Input'!$G198)</f>
        <v/>
      </c>
      <c r="G198" s="102">
        <f>IF('Energy Data Input'!$H198="","",'Energy Data Input'!$H198)</f>
        <v/>
      </c>
      <c r="H198" s="102">
        <f>IF('Energy Data Input'!$J198="","",'Energy Data Input'!$J198)</f>
        <v/>
      </c>
      <c r="I198" s="142">
        <f>IF('Energy Data Input'!$N198="","",'Energy Data Input'!$N198)</f>
        <v/>
      </c>
      <c r="J198" s="142">
        <f>IF($B198="","",IFERROR(AVERAGEIFS('Energy Data Input'!$N$6:$N$205,'Energy Data Input'!$B$6:$B$205,"&gt;="&amp;$B198-7,'Energy Data Input'!$B$6:$B$205,"&lt;"&amp;$B198,'Energy Data Input'!$H$6:$H$205,$G198,'Energy Data Input'!$J$6:$J$205,$H198),$I198))</f>
        <v/>
      </c>
      <c r="K198" s="143">
        <f>IFERROR(($I198-$J198)/$J198,"")</f>
        <v/>
      </c>
      <c r="L198" s="102">
        <f>IF('Energy Data Input'!$V198="","",'Energy Data Input'!$V198)</f>
        <v/>
      </c>
      <c r="M198" s="102">
        <f>IF($H198="","",IFERROR(VLOOKUP($H198,'Base Settings'!$A$13:$K$19,5,FALSE),0.2))</f>
        <v/>
      </c>
      <c r="N198" s="102">
        <f>IF($B198="","",IF('Energy Data Input'!$L198="","Missing reading",IF($I198=0,"Stalled reading / possibly offline",IF($K198&gt;=IFERROR(VLOOKUP($H198,'Base Settings'!$A$13:$K$19,6,FALSE),0.5),"Severe spike",IF($K198&gt;=$M198,"Usage spike",IF($K198&lt;=-IFERROR(VLOOKUP($H198,'Base Settings'!$A$13:$K$19,7,FALSE),0.3),"Usage drop",IF($L198&gt;IFERROR(VLOOKUP($H198,'Base Settings'!$A$13:$K$19,8,FALSE),999999),"Area intensity overrun","Normal")))))))</f>
        <v/>
      </c>
      <c r="O198" s="102">
        <f>IF($N198="","",IF($N198="Normal","Normal",IF(OR($N198="Severe spike",$K198&gt;=IFERROR(VLOOKUP($H198,'Base Settings'!$A$13:$K$19,6,FALSE),0.5)),"Severe",IF(OR($N198="Usage spike",$N198="Usage drop"),"High","Medium"))))</f>
        <v/>
      </c>
      <c r="P198" s="144">
        <f>IF(OR($N198="",$N198="Normal"),0,ABS($I198-$J198)*'Energy Data Input'!$O198)</f>
        <v/>
      </c>
      <c r="Q198" s="102">
        <f>IF($N198="Normal","",IF($N198="Stalled reading / possibly offline","核查表计通信/Electricity池/网关/阀门Status",IF(AND($H198="Water",$N198&lt;&gt;"Normal"),"检查管网、阀门、卫生间、冷却塔及夜间最小流量",IF(AND($H198="Electricity",$N198&lt;&gt;"Normal"),"检查空调、照明、生产设备、PeakOff-peak时段与待机功耗",IF(AND($H198="Gas",$N198&lt;&gt;"Normal"),"检查燃Gas阀门、锅炉/厨房设备与泄漏风险","核查设备工况、排班、产量与计量数据")))))</f>
        <v/>
      </c>
      <c r="R198" s="102">
        <f>IF($H198="","",IFERROR(VLOOKUP($H198,'Base Settings'!$A$13:$K$19,11,FALSE),"Energy management owner"))</f>
        <v/>
      </c>
      <c r="S198" s="102">
        <f>IF($N198="","",IF($N198="Normal","No action needed","Open"))</f>
        <v/>
      </c>
      <c r="T198" s="141">
        <f>IF(OR($B198="",$N198="Normal"),"",WORKDAY($B198,IF($O198="Severe",1,IF($O198="High",2,3))))</f>
        <v/>
      </c>
      <c r="U198" s="102">
        <f>IF($T198="","",IF(AND($S198&lt;&gt;"Closed",TODAY()&gt;$T198),"Overdue","Not overdue"))</f>
        <v/>
      </c>
      <c r="V198" s="102" t="n"/>
      <c r="W198" s="141" t="n"/>
      <c r="X198" s="102" t="n"/>
    </row>
    <row r="199">
      <c r="A199" s="102">
        <f>IF('Energy Data Input'!$A199="","","AL-"&amp;TEXT(ROW()-5,"0000"))</f>
        <v/>
      </c>
      <c r="B199" s="141">
        <f>IF('Energy Data Input'!$B199="","",'Energy Data Input'!$B199)</f>
        <v/>
      </c>
      <c r="C199" s="102">
        <f>IF('Energy Data Input'!$C199="","",'Energy Data Input'!$C199)</f>
        <v/>
      </c>
      <c r="D199" s="102">
        <f>IF('Energy Data Input'!$D199="","",'Energy Data Input'!$D199)</f>
        <v/>
      </c>
      <c r="E199" s="102">
        <f>IF('Energy Data Input'!$E199="","",'Energy Data Input'!$E199)</f>
        <v/>
      </c>
      <c r="F199" s="102">
        <f>IF('Energy Data Input'!$G199="","",'Energy Data Input'!$G199)</f>
        <v/>
      </c>
      <c r="G199" s="102">
        <f>IF('Energy Data Input'!$H199="","",'Energy Data Input'!$H199)</f>
        <v/>
      </c>
      <c r="H199" s="102">
        <f>IF('Energy Data Input'!$J199="","",'Energy Data Input'!$J199)</f>
        <v/>
      </c>
      <c r="I199" s="142">
        <f>IF('Energy Data Input'!$N199="","",'Energy Data Input'!$N199)</f>
        <v/>
      </c>
      <c r="J199" s="142">
        <f>IF($B199="","",IFERROR(AVERAGEIFS('Energy Data Input'!$N$6:$N$205,'Energy Data Input'!$B$6:$B$205,"&gt;="&amp;$B199-7,'Energy Data Input'!$B$6:$B$205,"&lt;"&amp;$B199,'Energy Data Input'!$H$6:$H$205,$G199,'Energy Data Input'!$J$6:$J$205,$H199),$I199))</f>
        <v/>
      </c>
      <c r="K199" s="143">
        <f>IFERROR(($I199-$J199)/$J199,"")</f>
        <v/>
      </c>
      <c r="L199" s="102">
        <f>IF('Energy Data Input'!$V199="","",'Energy Data Input'!$V199)</f>
        <v/>
      </c>
      <c r="M199" s="102">
        <f>IF($H199="","",IFERROR(VLOOKUP($H199,'Base Settings'!$A$13:$K$19,5,FALSE),0.2))</f>
        <v/>
      </c>
      <c r="N199" s="102">
        <f>IF($B199="","",IF('Energy Data Input'!$L199="","Missing reading",IF($I199=0,"Stalled reading / possibly offline",IF($K199&gt;=IFERROR(VLOOKUP($H199,'Base Settings'!$A$13:$K$19,6,FALSE),0.5),"Severe spike",IF($K199&gt;=$M199,"Usage spike",IF($K199&lt;=-IFERROR(VLOOKUP($H199,'Base Settings'!$A$13:$K$19,7,FALSE),0.3),"Usage drop",IF($L199&gt;IFERROR(VLOOKUP($H199,'Base Settings'!$A$13:$K$19,8,FALSE),999999),"Area intensity overrun","Normal")))))))</f>
        <v/>
      </c>
      <c r="O199" s="102">
        <f>IF($N199="","",IF($N199="Normal","Normal",IF(OR($N199="Severe spike",$K199&gt;=IFERROR(VLOOKUP($H199,'Base Settings'!$A$13:$K$19,6,FALSE),0.5)),"Severe",IF(OR($N199="Usage spike",$N199="Usage drop"),"High","Medium"))))</f>
        <v/>
      </c>
      <c r="P199" s="144">
        <f>IF(OR($N199="",$N199="Normal"),0,ABS($I199-$J199)*'Energy Data Input'!$O199)</f>
        <v/>
      </c>
      <c r="Q199" s="102">
        <f>IF($N199="Normal","",IF($N199="Stalled reading / possibly offline","核查表计通信/Electricity池/网关/阀门Status",IF(AND($H199="Water",$N199&lt;&gt;"Normal"),"检查管网、阀门、卫生间、冷却塔及夜间最小流量",IF(AND($H199="Electricity",$N199&lt;&gt;"Normal"),"检查空调、照明、生产设备、PeakOff-peak时段与待机功耗",IF(AND($H199="Gas",$N199&lt;&gt;"Normal"),"检查燃Gas阀门、锅炉/厨房设备与泄漏风险","核查设备工况、排班、产量与计量数据")))))</f>
        <v/>
      </c>
      <c r="R199" s="102">
        <f>IF($H199="","",IFERROR(VLOOKUP($H199,'Base Settings'!$A$13:$K$19,11,FALSE),"Energy management owner"))</f>
        <v/>
      </c>
      <c r="S199" s="102">
        <f>IF($N199="","",IF($N199="Normal","No action needed","Open"))</f>
        <v/>
      </c>
      <c r="T199" s="141">
        <f>IF(OR($B199="",$N199="Normal"),"",WORKDAY($B199,IF($O199="Severe",1,IF($O199="High",2,3))))</f>
        <v/>
      </c>
      <c r="U199" s="102">
        <f>IF($T199="","",IF(AND($S199&lt;&gt;"Closed",TODAY()&gt;$T199),"Overdue","Not overdue"))</f>
        <v/>
      </c>
      <c r="V199" s="102" t="n"/>
      <c r="W199" s="141" t="n"/>
      <c r="X199" s="102" t="n"/>
    </row>
    <row r="200">
      <c r="A200" s="102">
        <f>IF('Energy Data Input'!$A200="","","AL-"&amp;TEXT(ROW()-5,"0000"))</f>
        <v/>
      </c>
      <c r="B200" s="141">
        <f>IF('Energy Data Input'!$B200="","",'Energy Data Input'!$B200)</f>
        <v/>
      </c>
      <c r="C200" s="102">
        <f>IF('Energy Data Input'!$C200="","",'Energy Data Input'!$C200)</f>
        <v/>
      </c>
      <c r="D200" s="102">
        <f>IF('Energy Data Input'!$D200="","",'Energy Data Input'!$D200)</f>
        <v/>
      </c>
      <c r="E200" s="102">
        <f>IF('Energy Data Input'!$E200="","",'Energy Data Input'!$E200)</f>
        <v/>
      </c>
      <c r="F200" s="102">
        <f>IF('Energy Data Input'!$G200="","",'Energy Data Input'!$G200)</f>
        <v/>
      </c>
      <c r="G200" s="102">
        <f>IF('Energy Data Input'!$H200="","",'Energy Data Input'!$H200)</f>
        <v/>
      </c>
      <c r="H200" s="102">
        <f>IF('Energy Data Input'!$J200="","",'Energy Data Input'!$J200)</f>
        <v/>
      </c>
      <c r="I200" s="142">
        <f>IF('Energy Data Input'!$N200="","",'Energy Data Input'!$N200)</f>
        <v/>
      </c>
      <c r="J200" s="142">
        <f>IF($B200="","",IFERROR(AVERAGEIFS('Energy Data Input'!$N$6:$N$205,'Energy Data Input'!$B$6:$B$205,"&gt;="&amp;$B200-7,'Energy Data Input'!$B$6:$B$205,"&lt;"&amp;$B200,'Energy Data Input'!$H$6:$H$205,$G200,'Energy Data Input'!$J$6:$J$205,$H200),$I200))</f>
        <v/>
      </c>
      <c r="K200" s="143">
        <f>IFERROR(($I200-$J200)/$J200,"")</f>
        <v/>
      </c>
      <c r="L200" s="102">
        <f>IF('Energy Data Input'!$V200="","",'Energy Data Input'!$V200)</f>
        <v/>
      </c>
      <c r="M200" s="102">
        <f>IF($H200="","",IFERROR(VLOOKUP($H200,'Base Settings'!$A$13:$K$19,5,FALSE),0.2))</f>
        <v/>
      </c>
      <c r="N200" s="102">
        <f>IF($B200="","",IF('Energy Data Input'!$L200="","Missing reading",IF($I200=0,"Stalled reading / possibly offline",IF($K200&gt;=IFERROR(VLOOKUP($H200,'Base Settings'!$A$13:$K$19,6,FALSE),0.5),"Severe spike",IF($K200&gt;=$M200,"Usage spike",IF($K200&lt;=-IFERROR(VLOOKUP($H200,'Base Settings'!$A$13:$K$19,7,FALSE),0.3),"Usage drop",IF($L200&gt;IFERROR(VLOOKUP($H200,'Base Settings'!$A$13:$K$19,8,FALSE),999999),"Area intensity overrun","Normal")))))))</f>
        <v/>
      </c>
      <c r="O200" s="102">
        <f>IF($N200="","",IF($N200="Normal","Normal",IF(OR($N200="Severe spike",$K200&gt;=IFERROR(VLOOKUP($H200,'Base Settings'!$A$13:$K$19,6,FALSE),0.5)),"Severe",IF(OR($N200="Usage spike",$N200="Usage drop"),"High","Medium"))))</f>
        <v/>
      </c>
      <c r="P200" s="144">
        <f>IF(OR($N200="",$N200="Normal"),0,ABS($I200-$J200)*'Energy Data Input'!$O200)</f>
        <v/>
      </c>
      <c r="Q200" s="102">
        <f>IF($N200="Normal","",IF($N200="Stalled reading / possibly offline","核查表计通信/Electricity池/网关/阀门Status",IF(AND($H200="Water",$N200&lt;&gt;"Normal"),"检查管网、阀门、卫生间、冷却塔及夜间最小流量",IF(AND($H200="Electricity",$N200&lt;&gt;"Normal"),"检查空调、照明、生产设备、PeakOff-peak时段与待机功耗",IF(AND($H200="Gas",$N200&lt;&gt;"Normal"),"检查燃Gas阀门、锅炉/厨房设备与泄漏风险","核查设备工况、排班、产量与计量数据")))))</f>
        <v/>
      </c>
      <c r="R200" s="102">
        <f>IF($H200="","",IFERROR(VLOOKUP($H200,'Base Settings'!$A$13:$K$19,11,FALSE),"Energy management owner"))</f>
        <v/>
      </c>
      <c r="S200" s="102">
        <f>IF($N200="","",IF($N200="Normal","No action needed","Open"))</f>
        <v/>
      </c>
      <c r="T200" s="141">
        <f>IF(OR($B200="",$N200="Normal"),"",WORKDAY($B200,IF($O200="Severe",1,IF($O200="High",2,3))))</f>
        <v/>
      </c>
      <c r="U200" s="102">
        <f>IF($T200="","",IF(AND($S200&lt;&gt;"Closed",TODAY()&gt;$T200),"Overdue","Not overdue"))</f>
        <v/>
      </c>
      <c r="V200" s="102" t="n"/>
      <c r="W200" s="141" t="n"/>
      <c r="X200" s="102" t="n"/>
    </row>
    <row r="201">
      <c r="A201" s="102">
        <f>IF('Energy Data Input'!$A201="","","AL-"&amp;TEXT(ROW()-5,"0000"))</f>
        <v/>
      </c>
      <c r="B201" s="141">
        <f>IF('Energy Data Input'!$B201="","",'Energy Data Input'!$B201)</f>
        <v/>
      </c>
      <c r="C201" s="102">
        <f>IF('Energy Data Input'!$C201="","",'Energy Data Input'!$C201)</f>
        <v/>
      </c>
      <c r="D201" s="102">
        <f>IF('Energy Data Input'!$D201="","",'Energy Data Input'!$D201)</f>
        <v/>
      </c>
      <c r="E201" s="102">
        <f>IF('Energy Data Input'!$E201="","",'Energy Data Input'!$E201)</f>
        <v/>
      </c>
      <c r="F201" s="102">
        <f>IF('Energy Data Input'!$G201="","",'Energy Data Input'!$G201)</f>
        <v/>
      </c>
      <c r="G201" s="102">
        <f>IF('Energy Data Input'!$H201="","",'Energy Data Input'!$H201)</f>
        <v/>
      </c>
      <c r="H201" s="102">
        <f>IF('Energy Data Input'!$J201="","",'Energy Data Input'!$J201)</f>
        <v/>
      </c>
      <c r="I201" s="142">
        <f>IF('Energy Data Input'!$N201="","",'Energy Data Input'!$N201)</f>
        <v/>
      </c>
      <c r="J201" s="142">
        <f>IF($B201="","",IFERROR(AVERAGEIFS('Energy Data Input'!$N$6:$N$205,'Energy Data Input'!$B$6:$B$205,"&gt;="&amp;$B201-7,'Energy Data Input'!$B$6:$B$205,"&lt;"&amp;$B201,'Energy Data Input'!$H$6:$H$205,$G201,'Energy Data Input'!$J$6:$J$205,$H201),$I201))</f>
        <v/>
      </c>
      <c r="K201" s="143">
        <f>IFERROR(($I201-$J201)/$J201,"")</f>
        <v/>
      </c>
      <c r="L201" s="102">
        <f>IF('Energy Data Input'!$V201="","",'Energy Data Input'!$V201)</f>
        <v/>
      </c>
      <c r="M201" s="102">
        <f>IF($H201="","",IFERROR(VLOOKUP($H201,'Base Settings'!$A$13:$K$19,5,FALSE),0.2))</f>
        <v/>
      </c>
      <c r="N201" s="102">
        <f>IF($B201="","",IF('Energy Data Input'!$L201="","Missing reading",IF($I201=0,"Stalled reading / possibly offline",IF($K201&gt;=IFERROR(VLOOKUP($H201,'Base Settings'!$A$13:$K$19,6,FALSE),0.5),"Severe spike",IF($K201&gt;=$M201,"Usage spike",IF($K201&lt;=-IFERROR(VLOOKUP($H201,'Base Settings'!$A$13:$K$19,7,FALSE),0.3),"Usage drop",IF($L201&gt;IFERROR(VLOOKUP($H201,'Base Settings'!$A$13:$K$19,8,FALSE),999999),"Area intensity overrun","Normal")))))))</f>
        <v/>
      </c>
      <c r="O201" s="102">
        <f>IF($N201="","",IF($N201="Normal","Normal",IF(OR($N201="Severe spike",$K201&gt;=IFERROR(VLOOKUP($H201,'Base Settings'!$A$13:$K$19,6,FALSE),0.5)),"Severe",IF(OR($N201="Usage spike",$N201="Usage drop"),"High","Medium"))))</f>
        <v/>
      </c>
      <c r="P201" s="144">
        <f>IF(OR($N201="",$N201="Normal"),0,ABS($I201-$J201)*'Energy Data Input'!$O201)</f>
        <v/>
      </c>
      <c r="Q201" s="102">
        <f>IF($N201="Normal","",IF($N201="Stalled reading / possibly offline","核查表计通信/Electricity池/网关/阀门Status",IF(AND($H201="Water",$N201&lt;&gt;"Normal"),"检查管网、阀门、卫生间、冷却塔及夜间最小流量",IF(AND($H201="Electricity",$N201&lt;&gt;"Normal"),"检查空调、照明、生产设备、PeakOff-peak时段与待机功耗",IF(AND($H201="Gas",$N201&lt;&gt;"Normal"),"检查燃Gas阀门、锅炉/厨房设备与泄漏风险","核查设备工况、排班、产量与计量数据")))))</f>
        <v/>
      </c>
      <c r="R201" s="102">
        <f>IF($H201="","",IFERROR(VLOOKUP($H201,'Base Settings'!$A$13:$K$19,11,FALSE),"Energy management owner"))</f>
        <v/>
      </c>
      <c r="S201" s="102">
        <f>IF($N201="","",IF($N201="Normal","No action needed","Open"))</f>
        <v/>
      </c>
      <c r="T201" s="141">
        <f>IF(OR($B201="",$N201="Normal"),"",WORKDAY($B201,IF($O201="Severe",1,IF($O201="High",2,3))))</f>
        <v/>
      </c>
      <c r="U201" s="102">
        <f>IF($T201="","",IF(AND($S201&lt;&gt;"Closed",TODAY()&gt;$T201),"Overdue","Not overdue"))</f>
        <v/>
      </c>
      <c r="V201" s="102" t="n"/>
      <c r="W201" s="141" t="n"/>
      <c r="X201" s="102" t="n"/>
    </row>
    <row r="202">
      <c r="A202" s="102">
        <f>IF('Energy Data Input'!$A202="","","AL-"&amp;TEXT(ROW()-5,"0000"))</f>
        <v/>
      </c>
      <c r="B202" s="141">
        <f>IF('Energy Data Input'!$B202="","",'Energy Data Input'!$B202)</f>
        <v/>
      </c>
      <c r="C202" s="102">
        <f>IF('Energy Data Input'!$C202="","",'Energy Data Input'!$C202)</f>
        <v/>
      </c>
      <c r="D202" s="102">
        <f>IF('Energy Data Input'!$D202="","",'Energy Data Input'!$D202)</f>
        <v/>
      </c>
      <c r="E202" s="102">
        <f>IF('Energy Data Input'!$E202="","",'Energy Data Input'!$E202)</f>
        <v/>
      </c>
      <c r="F202" s="102">
        <f>IF('Energy Data Input'!$G202="","",'Energy Data Input'!$G202)</f>
        <v/>
      </c>
      <c r="G202" s="102">
        <f>IF('Energy Data Input'!$H202="","",'Energy Data Input'!$H202)</f>
        <v/>
      </c>
      <c r="H202" s="102">
        <f>IF('Energy Data Input'!$J202="","",'Energy Data Input'!$J202)</f>
        <v/>
      </c>
      <c r="I202" s="142">
        <f>IF('Energy Data Input'!$N202="","",'Energy Data Input'!$N202)</f>
        <v/>
      </c>
      <c r="J202" s="142">
        <f>IF($B202="","",IFERROR(AVERAGEIFS('Energy Data Input'!$N$6:$N$205,'Energy Data Input'!$B$6:$B$205,"&gt;="&amp;$B202-7,'Energy Data Input'!$B$6:$B$205,"&lt;"&amp;$B202,'Energy Data Input'!$H$6:$H$205,$G202,'Energy Data Input'!$J$6:$J$205,$H202),$I202))</f>
        <v/>
      </c>
      <c r="K202" s="143">
        <f>IFERROR(($I202-$J202)/$J202,"")</f>
        <v/>
      </c>
      <c r="L202" s="102">
        <f>IF('Energy Data Input'!$V202="","",'Energy Data Input'!$V202)</f>
        <v/>
      </c>
      <c r="M202" s="102">
        <f>IF($H202="","",IFERROR(VLOOKUP($H202,'Base Settings'!$A$13:$K$19,5,FALSE),0.2))</f>
        <v/>
      </c>
      <c r="N202" s="102">
        <f>IF($B202="","",IF('Energy Data Input'!$L202="","Missing reading",IF($I202=0,"Stalled reading / possibly offline",IF($K202&gt;=IFERROR(VLOOKUP($H202,'Base Settings'!$A$13:$K$19,6,FALSE),0.5),"Severe spike",IF($K202&gt;=$M202,"Usage spike",IF($K202&lt;=-IFERROR(VLOOKUP($H202,'Base Settings'!$A$13:$K$19,7,FALSE),0.3),"Usage drop",IF($L202&gt;IFERROR(VLOOKUP($H202,'Base Settings'!$A$13:$K$19,8,FALSE),999999),"Area intensity overrun","Normal")))))))</f>
        <v/>
      </c>
      <c r="O202" s="102">
        <f>IF($N202="","",IF($N202="Normal","Normal",IF(OR($N202="Severe spike",$K202&gt;=IFERROR(VLOOKUP($H202,'Base Settings'!$A$13:$K$19,6,FALSE),0.5)),"Severe",IF(OR($N202="Usage spike",$N202="Usage drop"),"High","Medium"))))</f>
        <v/>
      </c>
      <c r="P202" s="144">
        <f>IF(OR($N202="",$N202="Normal"),0,ABS($I202-$J202)*'Energy Data Input'!$O202)</f>
        <v/>
      </c>
      <c r="Q202" s="102">
        <f>IF($N202="Normal","",IF($N202="Stalled reading / possibly offline","核查表计通信/Electricity池/网关/阀门Status",IF(AND($H202="Water",$N202&lt;&gt;"Normal"),"检查管网、阀门、卫生间、冷却塔及夜间最小流量",IF(AND($H202="Electricity",$N202&lt;&gt;"Normal"),"检查空调、照明、生产设备、PeakOff-peak时段与待机功耗",IF(AND($H202="Gas",$N202&lt;&gt;"Normal"),"检查燃Gas阀门、锅炉/厨房设备与泄漏风险","核查设备工况、排班、产量与计量数据")))))</f>
        <v/>
      </c>
      <c r="R202" s="102">
        <f>IF($H202="","",IFERROR(VLOOKUP($H202,'Base Settings'!$A$13:$K$19,11,FALSE),"Energy management owner"))</f>
        <v/>
      </c>
      <c r="S202" s="102">
        <f>IF($N202="","",IF($N202="Normal","No action needed","Open"))</f>
        <v/>
      </c>
      <c r="T202" s="141">
        <f>IF(OR($B202="",$N202="Normal"),"",WORKDAY($B202,IF($O202="Severe",1,IF($O202="High",2,3))))</f>
        <v/>
      </c>
      <c r="U202" s="102">
        <f>IF($T202="","",IF(AND($S202&lt;&gt;"Closed",TODAY()&gt;$T202),"Overdue","Not overdue"))</f>
        <v/>
      </c>
      <c r="V202" s="102" t="n"/>
      <c r="W202" s="141" t="n"/>
      <c r="X202" s="102" t="n"/>
    </row>
    <row r="203">
      <c r="A203" s="102">
        <f>IF('Energy Data Input'!$A203="","","AL-"&amp;TEXT(ROW()-5,"0000"))</f>
        <v/>
      </c>
      <c r="B203" s="141">
        <f>IF('Energy Data Input'!$B203="","",'Energy Data Input'!$B203)</f>
        <v/>
      </c>
      <c r="C203" s="102">
        <f>IF('Energy Data Input'!$C203="","",'Energy Data Input'!$C203)</f>
        <v/>
      </c>
      <c r="D203" s="102">
        <f>IF('Energy Data Input'!$D203="","",'Energy Data Input'!$D203)</f>
        <v/>
      </c>
      <c r="E203" s="102">
        <f>IF('Energy Data Input'!$E203="","",'Energy Data Input'!$E203)</f>
        <v/>
      </c>
      <c r="F203" s="102">
        <f>IF('Energy Data Input'!$G203="","",'Energy Data Input'!$G203)</f>
        <v/>
      </c>
      <c r="G203" s="102">
        <f>IF('Energy Data Input'!$H203="","",'Energy Data Input'!$H203)</f>
        <v/>
      </c>
      <c r="H203" s="102">
        <f>IF('Energy Data Input'!$J203="","",'Energy Data Input'!$J203)</f>
        <v/>
      </c>
      <c r="I203" s="142">
        <f>IF('Energy Data Input'!$N203="","",'Energy Data Input'!$N203)</f>
        <v/>
      </c>
      <c r="J203" s="142">
        <f>IF($B203="","",IFERROR(AVERAGEIFS('Energy Data Input'!$N$6:$N$205,'Energy Data Input'!$B$6:$B$205,"&gt;="&amp;$B203-7,'Energy Data Input'!$B$6:$B$205,"&lt;"&amp;$B203,'Energy Data Input'!$H$6:$H$205,$G203,'Energy Data Input'!$J$6:$J$205,$H203),$I203))</f>
        <v/>
      </c>
      <c r="K203" s="143">
        <f>IFERROR(($I203-$J203)/$J203,"")</f>
        <v/>
      </c>
      <c r="L203" s="102">
        <f>IF('Energy Data Input'!$V203="","",'Energy Data Input'!$V203)</f>
        <v/>
      </c>
      <c r="M203" s="102">
        <f>IF($H203="","",IFERROR(VLOOKUP($H203,'Base Settings'!$A$13:$K$19,5,FALSE),0.2))</f>
        <v/>
      </c>
      <c r="N203" s="102">
        <f>IF($B203="","",IF('Energy Data Input'!$L203="","Missing reading",IF($I203=0,"Stalled reading / possibly offline",IF($K203&gt;=IFERROR(VLOOKUP($H203,'Base Settings'!$A$13:$K$19,6,FALSE),0.5),"Severe spike",IF($K203&gt;=$M203,"Usage spike",IF($K203&lt;=-IFERROR(VLOOKUP($H203,'Base Settings'!$A$13:$K$19,7,FALSE),0.3),"Usage drop",IF($L203&gt;IFERROR(VLOOKUP($H203,'Base Settings'!$A$13:$K$19,8,FALSE),999999),"Area intensity overrun","Normal")))))))</f>
        <v/>
      </c>
      <c r="O203" s="102">
        <f>IF($N203="","",IF($N203="Normal","Normal",IF(OR($N203="Severe spike",$K203&gt;=IFERROR(VLOOKUP($H203,'Base Settings'!$A$13:$K$19,6,FALSE),0.5)),"Severe",IF(OR($N203="Usage spike",$N203="Usage drop"),"High","Medium"))))</f>
        <v/>
      </c>
      <c r="P203" s="144">
        <f>IF(OR($N203="",$N203="Normal"),0,ABS($I203-$J203)*'Energy Data Input'!$O203)</f>
        <v/>
      </c>
      <c r="Q203" s="102">
        <f>IF($N203="Normal","",IF($N203="Stalled reading / possibly offline","核查表计通信/Electricity池/网关/阀门Status",IF(AND($H203="Water",$N203&lt;&gt;"Normal"),"检查管网、阀门、卫生间、冷却塔及夜间最小流量",IF(AND($H203="Electricity",$N203&lt;&gt;"Normal"),"检查空调、照明、生产设备、PeakOff-peak时段与待机功耗",IF(AND($H203="Gas",$N203&lt;&gt;"Normal"),"检查燃Gas阀门、锅炉/厨房设备与泄漏风险","核查设备工况、排班、产量与计量数据")))))</f>
        <v/>
      </c>
      <c r="R203" s="102">
        <f>IF($H203="","",IFERROR(VLOOKUP($H203,'Base Settings'!$A$13:$K$19,11,FALSE),"Energy management owner"))</f>
        <v/>
      </c>
      <c r="S203" s="102">
        <f>IF($N203="","",IF($N203="Normal","No action needed","Open"))</f>
        <v/>
      </c>
      <c r="T203" s="141">
        <f>IF(OR($B203="",$N203="Normal"),"",WORKDAY($B203,IF($O203="Severe",1,IF($O203="High",2,3))))</f>
        <v/>
      </c>
      <c r="U203" s="102">
        <f>IF($T203="","",IF(AND($S203&lt;&gt;"Closed",TODAY()&gt;$T203),"Overdue","Not overdue"))</f>
        <v/>
      </c>
      <c r="V203" s="102" t="n"/>
      <c r="W203" s="141" t="n"/>
      <c r="X203" s="102" t="n"/>
    </row>
    <row r="204">
      <c r="A204" s="102">
        <f>IF('Energy Data Input'!$A204="","","AL-"&amp;TEXT(ROW()-5,"0000"))</f>
        <v/>
      </c>
      <c r="B204" s="141">
        <f>IF('Energy Data Input'!$B204="","",'Energy Data Input'!$B204)</f>
        <v/>
      </c>
      <c r="C204" s="102">
        <f>IF('Energy Data Input'!$C204="","",'Energy Data Input'!$C204)</f>
        <v/>
      </c>
      <c r="D204" s="102">
        <f>IF('Energy Data Input'!$D204="","",'Energy Data Input'!$D204)</f>
        <v/>
      </c>
      <c r="E204" s="102">
        <f>IF('Energy Data Input'!$E204="","",'Energy Data Input'!$E204)</f>
        <v/>
      </c>
      <c r="F204" s="102">
        <f>IF('Energy Data Input'!$G204="","",'Energy Data Input'!$G204)</f>
        <v/>
      </c>
      <c r="G204" s="102">
        <f>IF('Energy Data Input'!$H204="","",'Energy Data Input'!$H204)</f>
        <v/>
      </c>
      <c r="H204" s="102">
        <f>IF('Energy Data Input'!$J204="","",'Energy Data Input'!$J204)</f>
        <v/>
      </c>
      <c r="I204" s="142">
        <f>IF('Energy Data Input'!$N204="","",'Energy Data Input'!$N204)</f>
        <v/>
      </c>
      <c r="J204" s="142">
        <f>IF($B204="","",IFERROR(AVERAGEIFS('Energy Data Input'!$N$6:$N$205,'Energy Data Input'!$B$6:$B$205,"&gt;="&amp;$B204-7,'Energy Data Input'!$B$6:$B$205,"&lt;"&amp;$B204,'Energy Data Input'!$H$6:$H$205,$G204,'Energy Data Input'!$J$6:$J$205,$H204),$I204))</f>
        <v/>
      </c>
      <c r="K204" s="143">
        <f>IFERROR(($I204-$J204)/$J204,"")</f>
        <v/>
      </c>
      <c r="L204" s="102">
        <f>IF('Energy Data Input'!$V204="","",'Energy Data Input'!$V204)</f>
        <v/>
      </c>
      <c r="M204" s="102">
        <f>IF($H204="","",IFERROR(VLOOKUP($H204,'Base Settings'!$A$13:$K$19,5,FALSE),0.2))</f>
        <v/>
      </c>
      <c r="N204" s="102">
        <f>IF($B204="","",IF('Energy Data Input'!$L204="","Missing reading",IF($I204=0,"Stalled reading / possibly offline",IF($K204&gt;=IFERROR(VLOOKUP($H204,'Base Settings'!$A$13:$K$19,6,FALSE),0.5),"Severe spike",IF($K204&gt;=$M204,"Usage spike",IF($K204&lt;=-IFERROR(VLOOKUP($H204,'Base Settings'!$A$13:$K$19,7,FALSE),0.3),"Usage drop",IF($L204&gt;IFERROR(VLOOKUP($H204,'Base Settings'!$A$13:$K$19,8,FALSE),999999),"Area intensity overrun","Normal")))))))</f>
        <v/>
      </c>
      <c r="O204" s="102">
        <f>IF($N204="","",IF($N204="Normal","Normal",IF(OR($N204="Severe spike",$K204&gt;=IFERROR(VLOOKUP($H204,'Base Settings'!$A$13:$K$19,6,FALSE),0.5)),"Severe",IF(OR($N204="Usage spike",$N204="Usage drop"),"High","Medium"))))</f>
        <v/>
      </c>
      <c r="P204" s="144">
        <f>IF(OR($N204="",$N204="Normal"),0,ABS($I204-$J204)*'Energy Data Input'!$O204)</f>
        <v/>
      </c>
      <c r="Q204" s="102">
        <f>IF($N204="Normal","",IF($N204="Stalled reading / possibly offline","核查表计通信/Electricity池/网关/阀门Status",IF(AND($H204="Water",$N204&lt;&gt;"Normal"),"检查管网、阀门、卫生间、冷却塔及夜间最小流量",IF(AND($H204="Electricity",$N204&lt;&gt;"Normal"),"检查空调、照明、生产设备、PeakOff-peak时段与待机功耗",IF(AND($H204="Gas",$N204&lt;&gt;"Normal"),"检查燃Gas阀门、锅炉/厨房设备与泄漏风险","核查设备工况、排班、产量与计量数据")))))</f>
        <v/>
      </c>
      <c r="R204" s="102">
        <f>IF($H204="","",IFERROR(VLOOKUP($H204,'Base Settings'!$A$13:$K$19,11,FALSE),"Energy management owner"))</f>
        <v/>
      </c>
      <c r="S204" s="102">
        <f>IF($N204="","",IF($N204="Normal","No action needed","Open"))</f>
        <v/>
      </c>
      <c r="T204" s="141">
        <f>IF(OR($B204="",$N204="Normal"),"",WORKDAY($B204,IF($O204="Severe",1,IF($O204="High",2,3))))</f>
        <v/>
      </c>
      <c r="U204" s="102">
        <f>IF($T204="","",IF(AND($S204&lt;&gt;"Closed",TODAY()&gt;$T204),"Overdue","Not overdue"))</f>
        <v/>
      </c>
      <c r="V204" s="102" t="n"/>
      <c r="W204" s="141" t="n"/>
      <c r="X204" s="102" t="n"/>
    </row>
    <row r="205">
      <c r="A205" s="102">
        <f>IF('Energy Data Input'!$A205="","","AL-"&amp;TEXT(ROW()-5,"0000"))</f>
        <v/>
      </c>
      <c r="B205" s="141">
        <f>IF('Energy Data Input'!$B205="","",'Energy Data Input'!$B205)</f>
        <v/>
      </c>
      <c r="C205" s="102">
        <f>IF('Energy Data Input'!$C205="","",'Energy Data Input'!$C205)</f>
        <v/>
      </c>
      <c r="D205" s="102">
        <f>IF('Energy Data Input'!$D205="","",'Energy Data Input'!$D205)</f>
        <v/>
      </c>
      <c r="E205" s="102">
        <f>IF('Energy Data Input'!$E205="","",'Energy Data Input'!$E205)</f>
        <v/>
      </c>
      <c r="F205" s="102">
        <f>IF('Energy Data Input'!$G205="","",'Energy Data Input'!$G205)</f>
        <v/>
      </c>
      <c r="G205" s="102">
        <f>IF('Energy Data Input'!$H205="","",'Energy Data Input'!$H205)</f>
        <v/>
      </c>
      <c r="H205" s="102">
        <f>IF('Energy Data Input'!$J205="","",'Energy Data Input'!$J205)</f>
        <v/>
      </c>
      <c r="I205" s="142">
        <f>IF('Energy Data Input'!$N205="","",'Energy Data Input'!$N205)</f>
        <v/>
      </c>
      <c r="J205" s="142">
        <f>IF($B205="","",IFERROR(AVERAGEIFS('Energy Data Input'!$N$6:$N$205,'Energy Data Input'!$B$6:$B$205,"&gt;="&amp;$B205-7,'Energy Data Input'!$B$6:$B$205,"&lt;"&amp;$B205,'Energy Data Input'!$H$6:$H$205,$G205,'Energy Data Input'!$J$6:$J$205,$H205),$I205))</f>
        <v/>
      </c>
      <c r="K205" s="143">
        <f>IFERROR(($I205-$J205)/$J205,"")</f>
        <v/>
      </c>
      <c r="L205" s="102">
        <f>IF('Energy Data Input'!$V205="","",'Energy Data Input'!$V205)</f>
        <v/>
      </c>
      <c r="M205" s="102">
        <f>IF($H205="","",IFERROR(VLOOKUP($H205,'Base Settings'!$A$13:$K$19,5,FALSE),0.2))</f>
        <v/>
      </c>
      <c r="N205" s="102">
        <f>IF($B205="","",IF('Energy Data Input'!$L205="","Missing reading",IF($I205=0,"Stalled reading / possibly offline",IF($K205&gt;=IFERROR(VLOOKUP($H205,'Base Settings'!$A$13:$K$19,6,FALSE),0.5),"Severe spike",IF($K205&gt;=$M205,"Usage spike",IF($K205&lt;=-IFERROR(VLOOKUP($H205,'Base Settings'!$A$13:$K$19,7,FALSE),0.3),"Usage drop",IF($L205&gt;IFERROR(VLOOKUP($H205,'Base Settings'!$A$13:$K$19,8,FALSE),999999),"Area intensity overrun","Normal")))))))</f>
        <v/>
      </c>
      <c r="O205" s="102">
        <f>IF($N205="","",IF($N205="Normal","Normal",IF(OR($N205="Severe spike",$K205&gt;=IFERROR(VLOOKUP($H205,'Base Settings'!$A$13:$K$19,6,FALSE),0.5)),"Severe",IF(OR($N205="Usage spike",$N205="Usage drop"),"High","Medium"))))</f>
        <v/>
      </c>
      <c r="P205" s="144">
        <f>IF(OR($N205="",$N205="Normal"),0,ABS($I205-$J205)*'Energy Data Input'!$O205)</f>
        <v/>
      </c>
      <c r="Q205" s="102">
        <f>IF($N205="Normal","",IF($N205="Stalled reading / possibly offline","核查表计通信/Electricity池/网关/阀门Status",IF(AND($H205="Water",$N205&lt;&gt;"Normal"),"检查管网、阀门、卫生间、冷却塔及夜间最小流量",IF(AND($H205="Electricity",$N205&lt;&gt;"Normal"),"检查空调、照明、生产设备、PeakOff-peak时段与待机功耗",IF(AND($H205="Gas",$N205&lt;&gt;"Normal"),"检查燃Gas阀门、锅炉/厨房设备与泄漏风险","核查设备工况、排班、产量与计量数据")))))</f>
        <v/>
      </c>
      <c r="R205" s="102">
        <f>IF($H205="","",IFERROR(VLOOKUP($H205,'Base Settings'!$A$13:$K$19,11,FALSE),"Energy management owner"))</f>
        <v/>
      </c>
      <c r="S205" s="102">
        <f>IF($N205="","",IF($N205="Normal","No action needed","Open"))</f>
        <v/>
      </c>
      <c r="T205" s="141">
        <f>IF(OR($B205="",$N205="Normal"),"",WORKDAY($B205,IF($O205="Severe",1,IF($O205="High",2,3))))</f>
        <v/>
      </c>
      <c r="U205" s="102">
        <f>IF($T205="","",IF(AND($S205&lt;&gt;"Closed",TODAY()&gt;$T205),"Overdue","Not overdue"))</f>
        <v/>
      </c>
      <c r="V205" s="102" t="n"/>
      <c r="W205" s="141" t="n"/>
      <c r="X205" s="102" t="n"/>
    </row>
  </sheetData>
  <mergeCells count="1">
    <mergeCell ref="A1:X1"/>
  </mergeCells>
  <conditionalFormatting sqref="O6:O205">
    <cfRule type="expression" priority="1" dxfId="0">
      <formula>$O6="Severe"</formula>
    </cfRule>
    <cfRule type="expression" priority="2" dxfId="1">
      <formula>$O6="High"</formula>
    </cfRule>
    <cfRule type="expression" priority="3" dxfId="2">
      <formula>$O6="Medium"</formula>
    </cfRule>
    <cfRule type="expression" priority="4" dxfId="3">
      <formula>$O6="Normal"</formula>
    </cfRule>
  </conditionalFormatting>
  <conditionalFormatting sqref="U6:U205">
    <cfRule type="expression" priority="5" dxfId="4">
      <formula>$U6="Overdue"</formula>
    </cfRule>
  </conditionalFormatting>
  <dataValidations count="1">
    <dataValidation sqref="S6:S205" showDropDown="0" showInputMessage="0" showErrorMessage="0" allowBlank="0" type="list">
      <formula1>Base Settings!$N$13:$N$17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T10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4" customWidth="1" min="4" max="4"/>
    <col width="20" customWidth="1" min="5" max="5"/>
    <col width="18" customWidth="1" min="6" max="6"/>
    <col width="22" customWidth="1" min="7" max="7"/>
    <col width="10" customWidth="1" min="8" max="8"/>
    <col width="18" customWidth="1" min="9" max="9"/>
    <col width="10" customWidth="1" min="10" max="10"/>
    <col width="18" customWidth="1" min="11" max="11"/>
    <col width="12" customWidth="1" min="12" max="12"/>
    <col width="12" customWidth="1" min="13" max="13"/>
    <col width="12" customWidth="1" min="14" max="14"/>
    <col width="10" customWidth="1" min="15" max="15"/>
    <col width="18" customWidth="1" min="16" max="16"/>
    <col width="40" customWidth="1" min="17" max="17"/>
    <col width="16" customWidth="1" min="18" max="18"/>
    <col width="14" customWidth="1" min="19" max="19"/>
    <col width="34" customWidth="1" min="20" max="20"/>
  </cols>
  <sheetData>
    <row r="1" ht="34" customHeight="1">
      <c r="A1" s="9" t="inlineStr">
        <is>
          <t>Closed-loop Actions for Alerts and Savings Review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</row>
    <row r="2" ht="24" customHeight="1">
      <c r="A2" s="13" t="inlineStr">
        <is>
          <t>Usage notes</t>
        </is>
      </c>
      <c r="B2" s="13" t="inlineStr">
        <is>
          <t>Select an anomaly ID in column B. Columns C-J fill automatically. Maintain status, completion, root cause, action, savings quantity, and savings amount.</t>
        </is>
      </c>
      <c r="C2" s="13" t="n"/>
      <c r="D2" s="13" t="n"/>
      <c r="E2" s="13" t="n"/>
      <c r="F2" s="13" t="n"/>
      <c r="G2" s="13" t="n"/>
      <c r="H2" s="13" t="n"/>
      <c r="I2" s="13" t="n"/>
      <c r="J2" s="13" t="n"/>
      <c r="K2" s="13" t="n"/>
      <c r="L2" s="13" t="n"/>
      <c r="M2" s="13" t="n"/>
      <c r="N2" s="13" t="n"/>
      <c r="O2" s="13" t="n"/>
      <c r="P2" s="13" t="n"/>
      <c r="Q2" s="13" t="n"/>
      <c r="R2" s="13" t="n"/>
      <c r="S2" s="13" t="n"/>
      <c r="T2" s="13" t="n"/>
    </row>
    <row r="3" ht="24" customHeight="1">
      <c r="A3" s="13" t="inlineStr">
        <is>
          <t>Recommendation流程</t>
        </is>
      </c>
      <c r="B3" s="13" t="inlineStr">
        <is>
          <t>Open -&gt; In progress -&gt; Closed. Severe alerts should be answered within 1 business day; high-risk alerts within 2 business days.</t>
        </is>
      </c>
      <c r="C3" s="13" t="n"/>
      <c r="D3" s="13" t="n"/>
      <c r="E3" s="13" t="n"/>
      <c r="F3" s="13" t="n"/>
      <c r="G3" s="13" t="n"/>
      <c r="H3" s="13" t="n"/>
      <c r="I3" s="13" t="n"/>
      <c r="J3" s="13" t="n"/>
      <c r="K3" s="13" t="n"/>
      <c r="L3" s="13" t="n"/>
      <c r="M3" s="13" t="n"/>
      <c r="N3" s="13" t="n"/>
      <c r="O3" s="13" t="n"/>
      <c r="P3" s="13" t="n"/>
      <c r="Q3" s="13" t="n"/>
      <c r="R3" s="13" t="n"/>
      <c r="S3" s="13" t="n"/>
      <c r="T3" s="13" t="n"/>
    </row>
    <row r="5">
      <c r="A5" s="44" t="inlineStr">
        <is>
          <t>Work order ID</t>
        </is>
      </c>
      <c r="B5" s="44" t="inlineStr">
        <is>
          <t>Anomaly ID</t>
        </is>
      </c>
      <c r="C5" s="44" t="inlineStr">
        <is>
          <t>Discovery date</t>
        </is>
      </c>
      <c r="D5" s="44" t="inlineStr">
        <is>
          <t>Company</t>
        </is>
      </c>
      <c r="E5" s="44" t="inlineStr">
        <is>
          <t>Business scenario</t>
        </is>
      </c>
      <c r="F5" s="44" t="inlineStr">
        <is>
          <t>Area / site</t>
        </is>
      </c>
      <c r="G5" s="44" t="inlineStr">
        <is>
          <t>Equipment / metering point</t>
        </is>
      </c>
      <c r="H5" s="44" t="inlineStr">
        <is>
          <t>Energy type</t>
        </is>
      </c>
      <c r="I5" s="44" t="inlineStr">
        <is>
          <t>Anomaly category</t>
        </is>
      </c>
      <c r="J5" s="44" t="inlineStr">
        <is>
          <t>Risk level</t>
        </is>
      </c>
      <c r="K5" s="44" t="inlineStr">
        <is>
          <t>Owner</t>
        </is>
      </c>
      <c r="L5" s="44" t="inlineStr">
        <is>
          <t>Status</t>
        </is>
      </c>
      <c r="M5" s="44" t="inlineStr">
        <is>
          <t>Planned completion date</t>
        </is>
      </c>
      <c r="N5" s="44" t="inlineStr">
        <is>
          <t>Actual completion date</t>
        </is>
      </c>
      <c r="O5" s="44" t="inlineStr">
        <is>
          <t>Overdue?</t>
        </is>
      </c>
      <c r="P5" s="44" t="inlineStr">
        <is>
          <t>Root cause category</t>
        </is>
      </c>
      <c r="Q5" s="44" t="inlineStr">
        <is>
          <t>Corrective action</t>
        </is>
      </c>
      <c r="R5" s="44" t="inlineStr">
        <is>
          <t>Estimated / actual savings quantity</t>
        </is>
      </c>
      <c r="S5" s="44" t="inlineStr">
        <is>
          <t>Savings amount</t>
        </is>
      </c>
      <c r="T5" s="44" t="inlineStr">
        <is>
          <t>Review conclusion</t>
        </is>
      </c>
    </row>
    <row r="6">
      <c r="A6" s="102">
        <f>IF($B6="","","WO-"&amp;TEXT(ROW()-5,"0000"))</f>
        <v/>
      </c>
      <c r="B6" s="102" t="n"/>
      <c r="C6" s="141">
        <f>IFERROR(VLOOKUP($B6,'Anomaly Detection'!$A$6:$X$205,2,FALSE),"")</f>
        <v/>
      </c>
      <c r="D6" s="102">
        <f>IFERROR(VLOOKUP($B6,'Anomaly Detection'!$A$6:$X$205,3,FALSE),"")</f>
        <v/>
      </c>
      <c r="E6" s="102">
        <f>IFERROR(VLOOKUP($B6,'Anomaly Detection'!$A$6:$X$205,4,FALSE),"")</f>
        <v/>
      </c>
      <c r="F6" s="102">
        <f>IFERROR(VLOOKUP($B6,'Anomaly Detection'!$A$6:$X$205,5,FALSE),"")</f>
        <v/>
      </c>
      <c r="G6" s="102">
        <f>IFERROR(VLOOKUP($B6,'Anomaly Detection'!$A$6:$X$205,7,FALSE),"")</f>
        <v/>
      </c>
      <c r="H6" s="102">
        <f>IFERROR(VLOOKUP($B6,'Anomaly Detection'!$A$6:$X$205,8,FALSE),"")</f>
        <v/>
      </c>
      <c r="I6" s="102">
        <f>IFERROR(VLOOKUP($B6,'Anomaly Detection'!$A$6:$X$205,14,FALSE),"")</f>
        <v/>
      </c>
      <c r="J6" s="102">
        <f>IFERROR(VLOOKUP($B6,'Anomaly Detection'!$A$6:$X$205,15,FALSE),"")</f>
        <v/>
      </c>
      <c r="K6" s="102">
        <f>IFERROR(VLOOKUP($B6,'Anomaly Detection'!$A$6:$X$205,18,FALSE),"")</f>
        <v/>
      </c>
      <c r="L6" s="102" t="inlineStr">
        <is>
          <t>Open</t>
        </is>
      </c>
      <c r="M6" s="141">
        <f>IFERROR(VLOOKUP($B6,'Anomaly Detection'!$A$6:$X$205,20,FALSE),"")</f>
        <v/>
      </c>
      <c r="N6" s="141" t="n"/>
      <c r="O6" s="102">
        <f>IF($M6="","",IF(AND($L6&lt;&gt;"Closed",TODAY()&gt;$M6),"Overdue","Not overdue"))</f>
        <v/>
      </c>
      <c r="P6" s="102" t="inlineStr">
        <is>
          <t>Not classified</t>
        </is>
      </c>
      <c r="Q6" s="102" t="n"/>
      <c r="R6" s="102" t="n"/>
      <c r="S6" s="144" t="n"/>
      <c r="T6" s="102" t="n"/>
    </row>
    <row r="7">
      <c r="A7" s="102">
        <f>IF($B7="","","WO-"&amp;TEXT(ROW()-5,"0000"))</f>
        <v/>
      </c>
      <c r="B7" s="102" t="n"/>
      <c r="C7" s="141">
        <f>IFERROR(VLOOKUP($B7,'Anomaly Detection'!$A$6:$X$205,2,FALSE),"")</f>
        <v/>
      </c>
      <c r="D7" s="102">
        <f>IFERROR(VLOOKUP($B7,'Anomaly Detection'!$A$6:$X$205,3,FALSE),"")</f>
        <v/>
      </c>
      <c r="E7" s="102">
        <f>IFERROR(VLOOKUP($B7,'Anomaly Detection'!$A$6:$X$205,4,FALSE),"")</f>
        <v/>
      </c>
      <c r="F7" s="102">
        <f>IFERROR(VLOOKUP($B7,'Anomaly Detection'!$A$6:$X$205,5,FALSE),"")</f>
        <v/>
      </c>
      <c r="G7" s="102">
        <f>IFERROR(VLOOKUP($B7,'Anomaly Detection'!$A$6:$X$205,7,FALSE),"")</f>
        <v/>
      </c>
      <c r="H7" s="102">
        <f>IFERROR(VLOOKUP($B7,'Anomaly Detection'!$A$6:$X$205,8,FALSE),"")</f>
        <v/>
      </c>
      <c r="I7" s="102">
        <f>IFERROR(VLOOKUP($B7,'Anomaly Detection'!$A$6:$X$205,14,FALSE),"")</f>
        <v/>
      </c>
      <c r="J7" s="102">
        <f>IFERROR(VLOOKUP($B7,'Anomaly Detection'!$A$6:$X$205,15,FALSE),"")</f>
        <v/>
      </c>
      <c r="K7" s="102">
        <f>IFERROR(VLOOKUP($B7,'Anomaly Detection'!$A$6:$X$205,18,FALSE),"")</f>
        <v/>
      </c>
      <c r="L7" s="102" t="inlineStr">
        <is>
          <t>Open</t>
        </is>
      </c>
      <c r="M7" s="141">
        <f>IFERROR(VLOOKUP($B7,'Anomaly Detection'!$A$6:$X$205,20,FALSE),"")</f>
        <v/>
      </c>
      <c r="N7" s="141" t="n"/>
      <c r="O7" s="102">
        <f>IF($M7="","",IF(AND($L7&lt;&gt;"Closed",TODAY()&gt;$M7),"Overdue","Not overdue"))</f>
        <v/>
      </c>
      <c r="P7" s="102" t="inlineStr">
        <is>
          <t>Not classified</t>
        </is>
      </c>
      <c r="Q7" s="102" t="n"/>
      <c r="R7" s="102" t="n"/>
      <c r="S7" s="144" t="n"/>
      <c r="T7" s="102" t="n"/>
    </row>
    <row r="8">
      <c r="A8" s="102">
        <f>IF($B8="","","WO-"&amp;TEXT(ROW()-5,"0000"))</f>
        <v/>
      </c>
      <c r="B8" s="102" t="n"/>
      <c r="C8" s="141">
        <f>IFERROR(VLOOKUP($B8,'Anomaly Detection'!$A$6:$X$205,2,FALSE),"")</f>
        <v/>
      </c>
      <c r="D8" s="102">
        <f>IFERROR(VLOOKUP($B8,'Anomaly Detection'!$A$6:$X$205,3,FALSE),"")</f>
        <v/>
      </c>
      <c r="E8" s="102">
        <f>IFERROR(VLOOKUP($B8,'Anomaly Detection'!$A$6:$X$205,4,FALSE),"")</f>
        <v/>
      </c>
      <c r="F8" s="102">
        <f>IFERROR(VLOOKUP($B8,'Anomaly Detection'!$A$6:$X$205,5,FALSE),"")</f>
        <v/>
      </c>
      <c r="G8" s="102">
        <f>IFERROR(VLOOKUP($B8,'Anomaly Detection'!$A$6:$X$205,7,FALSE),"")</f>
        <v/>
      </c>
      <c r="H8" s="102">
        <f>IFERROR(VLOOKUP($B8,'Anomaly Detection'!$A$6:$X$205,8,FALSE),"")</f>
        <v/>
      </c>
      <c r="I8" s="102">
        <f>IFERROR(VLOOKUP($B8,'Anomaly Detection'!$A$6:$X$205,14,FALSE),"")</f>
        <v/>
      </c>
      <c r="J8" s="102">
        <f>IFERROR(VLOOKUP($B8,'Anomaly Detection'!$A$6:$X$205,15,FALSE),"")</f>
        <v/>
      </c>
      <c r="K8" s="102">
        <f>IFERROR(VLOOKUP($B8,'Anomaly Detection'!$A$6:$X$205,18,FALSE),"")</f>
        <v/>
      </c>
      <c r="L8" s="102" t="inlineStr">
        <is>
          <t>Open</t>
        </is>
      </c>
      <c r="M8" s="141">
        <f>IFERROR(VLOOKUP($B8,'Anomaly Detection'!$A$6:$X$205,20,FALSE),"")</f>
        <v/>
      </c>
      <c r="N8" s="141" t="n"/>
      <c r="O8" s="102">
        <f>IF($M8="","",IF(AND($L8&lt;&gt;"Closed",TODAY()&gt;$M8),"Overdue","Not overdue"))</f>
        <v/>
      </c>
      <c r="P8" s="102" t="inlineStr">
        <is>
          <t>Not classified</t>
        </is>
      </c>
      <c r="Q8" s="102" t="n"/>
      <c r="R8" s="102" t="n"/>
      <c r="S8" s="144" t="n"/>
      <c r="T8" s="102" t="n"/>
    </row>
    <row r="9">
      <c r="A9" s="102">
        <f>IF($B9="","","WO-"&amp;TEXT(ROW()-5,"0000"))</f>
        <v/>
      </c>
      <c r="B9" s="102" t="n"/>
      <c r="C9" s="141">
        <f>IFERROR(VLOOKUP($B9,'Anomaly Detection'!$A$6:$X$205,2,FALSE),"")</f>
        <v/>
      </c>
      <c r="D9" s="102">
        <f>IFERROR(VLOOKUP($B9,'Anomaly Detection'!$A$6:$X$205,3,FALSE),"")</f>
        <v/>
      </c>
      <c r="E9" s="102">
        <f>IFERROR(VLOOKUP($B9,'Anomaly Detection'!$A$6:$X$205,4,FALSE),"")</f>
        <v/>
      </c>
      <c r="F9" s="102">
        <f>IFERROR(VLOOKUP($B9,'Anomaly Detection'!$A$6:$X$205,5,FALSE),"")</f>
        <v/>
      </c>
      <c r="G9" s="102">
        <f>IFERROR(VLOOKUP($B9,'Anomaly Detection'!$A$6:$X$205,7,FALSE),"")</f>
        <v/>
      </c>
      <c r="H9" s="102">
        <f>IFERROR(VLOOKUP($B9,'Anomaly Detection'!$A$6:$X$205,8,FALSE),"")</f>
        <v/>
      </c>
      <c r="I9" s="102">
        <f>IFERROR(VLOOKUP($B9,'Anomaly Detection'!$A$6:$X$205,14,FALSE),"")</f>
        <v/>
      </c>
      <c r="J9" s="102">
        <f>IFERROR(VLOOKUP($B9,'Anomaly Detection'!$A$6:$X$205,15,FALSE),"")</f>
        <v/>
      </c>
      <c r="K9" s="102">
        <f>IFERROR(VLOOKUP($B9,'Anomaly Detection'!$A$6:$X$205,18,FALSE),"")</f>
        <v/>
      </c>
      <c r="L9" s="102" t="inlineStr">
        <is>
          <t>Open</t>
        </is>
      </c>
      <c r="M9" s="141">
        <f>IFERROR(VLOOKUP($B9,'Anomaly Detection'!$A$6:$X$205,20,FALSE),"")</f>
        <v/>
      </c>
      <c r="N9" s="141" t="n"/>
      <c r="O9" s="102">
        <f>IF($M9="","",IF(AND($L9&lt;&gt;"Closed",TODAY()&gt;$M9),"Overdue","Not overdue"))</f>
        <v/>
      </c>
      <c r="P9" s="102" t="inlineStr">
        <is>
          <t>Not classified</t>
        </is>
      </c>
      <c r="Q9" s="102" t="n"/>
      <c r="R9" s="102" t="n"/>
      <c r="S9" s="144" t="n"/>
      <c r="T9" s="102" t="n"/>
    </row>
    <row r="10">
      <c r="A10" s="102">
        <f>IF($B10="","","WO-"&amp;TEXT(ROW()-5,"0000"))</f>
        <v/>
      </c>
      <c r="B10" s="102" t="n"/>
      <c r="C10" s="141">
        <f>IFERROR(VLOOKUP($B10,'Anomaly Detection'!$A$6:$X$205,2,FALSE),"")</f>
        <v/>
      </c>
      <c r="D10" s="102">
        <f>IFERROR(VLOOKUP($B10,'Anomaly Detection'!$A$6:$X$205,3,FALSE),"")</f>
        <v/>
      </c>
      <c r="E10" s="102">
        <f>IFERROR(VLOOKUP($B10,'Anomaly Detection'!$A$6:$X$205,4,FALSE),"")</f>
        <v/>
      </c>
      <c r="F10" s="102">
        <f>IFERROR(VLOOKUP($B10,'Anomaly Detection'!$A$6:$X$205,5,FALSE),"")</f>
        <v/>
      </c>
      <c r="G10" s="102">
        <f>IFERROR(VLOOKUP($B10,'Anomaly Detection'!$A$6:$X$205,7,FALSE),"")</f>
        <v/>
      </c>
      <c r="H10" s="102">
        <f>IFERROR(VLOOKUP($B10,'Anomaly Detection'!$A$6:$X$205,8,FALSE),"")</f>
        <v/>
      </c>
      <c r="I10" s="102">
        <f>IFERROR(VLOOKUP($B10,'Anomaly Detection'!$A$6:$X$205,14,FALSE),"")</f>
        <v/>
      </c>
      <c r="J10" s="102">
        <f>IFERROR(VLOOKUP($B10,'Anomaly Detection'!$A$6:$X$205,15,FALSE),"")</f>
        <v/>
      </c>
      <c r="K10" s="102">
        <f>IFERROR(VLOOKUP($B10,'Anomaly Detection'!$A$6:$X$205,18,FALSE),"")</f>
        <v/>
      </c>
      <c r="L10" s="102" t="inlineStr">
        <is>
          <t>Open</t>
        </is>
      </c>
      <c r="M10" s="141">
        <f>IFERROR(VLOOKUP($B10,'Anomaly Detection'!$A$6:$X$205,20,FALSE),"")</f>
        <v/>
      </c>
      <c r="N10" s="141" t="n"/>
      <c r="O10" s="102">
        <f>IF($M10="","",IF(AND($L10&lt;&gt;"Closed",TODAY()&gt;$M10),"Overdue","Not overdue"))</f>
        <v/>
      </c>
      <c r="P10" s="102" t="inlineStr">
        <is>
          <t>Not classified</t>
        </is>
      </c>
      <c r="Q10" s="102" t="n"/>
      <c r="R10" s="102" t="n"/>
      <c r="S10" s="144" t="n"/>
      <c r="T10" s="102" t="n"/>
    </row>
    <row r="11">
      <c r="A11" s="102">
        <f>IF($B11="","","WO-"&amp;TEXT(ROW()-5,"0000"))</f>
        <v/>
      </c>
      <c r="B11" s="102" t="n"/>
      <c r="C11" s="141">
        <f>IFERROR(VLOOKUP($B11,'Anomaly Detection'!$A$6:$X$205,2,FALSE),"")</f>
        <v/>
      </c>
      <c r="D11" s="102">
        <f>IFERROR(VLOOKUP($B11,'Anomaly Detection'!$A$6:$X$205,3,FALSE),"")</f>
        <v/>
      </c>
      <c r="E11" s="102">
        <f>IFERROR(VLOOKUP($B11,'Anomaly Detection'!$A$6:$X$205,4,FALSE),"")</f>
        <v/>
      </c>
      <c r="F11" s="102">
        <f>IFERROR(VLOOKUP($B11,'Anomaly Detection'!$A$6:$X$205,5,FALSE),"")</f>
        <v/>
      </c>
      <c r="G11" s="102">
        <f>IFERROR(VLOOKUP($B11,'Anomaly Detection'!$A$6:$X$205,7,FALSE),"")</f>
        <v/>
      </c>
      <c r="H11" s="102">
        <f>IFERROR(VLOOKUP($B11,'Anomaly Detection'!$A$6:$X$205,8,FALSE),"")</f>
        <v/>
      </c>
      <c r="I11" s="102">
        <f>IFERROR(VLOOKUP($B11,'Anomaly Detection'!$A$6:$X$205,14,FALSE),"")</f>
        <v/>
      </c>
      <c r="J11" s="102">
        <f>IFERROR(VLOOKUP($B11,'Anomaly Detection'!$A$6:$X$205,15,FALSE),"")</f>
        <v/>
      </c>
      <c r="K11" s="102">
        <f>IFERROR(VLOOKUP($B11,'Anomaly Detection'!$A$6:$X$205,18,FALSE),"")</f>
        <v/>
      </c>
      <c r="L11" s="102" t="inlineStr">
        <is>
          <t>Open</t>
        </is>
      </c>
      <c r="M11" s="141">
        <f>IFERROR(VLOOKUP($B11,'Anomaly Detection'!$A$6:$X$205,20,FALSE),"")</f>
        <v/>
      </c>
      <c r="N11" s="141" t="n"/>
      <c r="O11" s="102">
        <f>IF($M11="","",IF(AND($L11&lt;&gt;"Closed",TODAY()&gt;$M11),"Overdue","Not overdue"))</f>
        <v/>
      </c>
      <c r="P11" s="102" t="inlineStr">
        <is>
          <t>Not classified</t>
        </is>
      </c>
      <c r="Q11" s="102" t="n"/>
      <c r="R11" s="102" t="n"/>
      <c r="S11" s="144" t="n"/>
      <c r="T11" s="102" t="n"/>
    </row>
    <row r="12">
      <c r="A12" s="102">
        <f>IF($B12="","","WO-"&amp;TEXT(ROW()-5,"0000"))</f>
        <v/>
      </c>
      <c r="B12" s="102" t="n"/>
      <c r="C12" s="141">
        <f>IFERROR(VLOOKUP($B12,'Anomaly Detection'!$A$6:$X$205,2,FALSE),"")</f>
        <v/>
      </c>
      <c r="D12" s="102">
        <f>IFERROR(VLOOKUP($B12,'Anomaly Detection'!$A$6:$X$205,3,FALSE),"")</f>
        <v/>
      </c>
      <c r="E12" s="102">
        <f>IFERROR(VLOOKUP($B12,'Anomaly Detection'!$A$6:$X$205,4,FALSE),"")</f>
        <v/>
      </c>
      <c r="F12" s="102">
        <f>IFERROR(VLOOKUP($B12,'Anomaly Detection'!$A$6:$X$205,5,FALSE),"")</f>
        <v/>
      </c>
      <c r="G12" s="102">
        <f>IFERROR(VLOOKUP($B12,'Anomaly Detection'!$A$6:$X$205,7,FALSE),"")</f>
        <v/>
      </c>
      <c r="H12" s="102">
        <f>IFERROR(VLOOKUP($B12,'Anomaly Detection'!$A$6:$X$205,8,FALSE),"")</f>
        <v/>
      </c>
      <c r="I12" s="102">
        <f>IFERROR(VLOOKUP($B12,'Anomaly Detection'!$A$6:$X$205,14,FALSE),"")</f>
        <v/>
      </c>
      <c r="J12" s="102">
        <f>IFERROR(VLOOKUP($B12,'Anomaly Detection'!$A$6:$X$205,15,FALSE),"")</f>
        <v/>
      </c>
      <c r="K12" s="102">
        <f>IFERROR(VLOOKUP($B12,'Anomaly Detection'!$A$6:$X$205,18,FALSE),"")</f>
        <v/>
      </c>
      <c r="L12" s="102" t="inlineStr">
        <is>
          <t>Open</t>
        </is>
      </c>
      <c r="M12" s="141">
        <f>IFERROR(VLOOKUP($B12,'Anomaly Detection'!$A$6:$X$205,20,FALSE),"")</f>
        <v/>
      </c>
      <c r="N12" s="141" t="n"/>
      <c r="O12" s="102">
        <f>IF($M12="","",IF(AND($L12&lt;&gt;"Closed",TODAY()&gt;$M12),"Overdue","Not overdue"))</f>
        <v/>
      </c>
      <c r="P12" s="102" t="inlineStr">
        <is>
          <t>Not classified</t>
        </is>
      </c>
      <c r="Q12" s="102" t="n"/>
      <c r="R12" s="102" t="n"/>
      <c r="S12" s="144" t="n"/>
      <c r="T12" s="102" t="n"/>
    </row>
    <row r="13">
      <c r="A13" s="102">
        <f>IF($B13="","","WO-"&amp;TEXT(ROW()-5,"0000"))</f>
        <v/>
      </c>
      <c r="B13" s="102" t="n"/>
      <c r="C13" s="141">
        <f>IFERROR(VLOOKUP($B13,'Anomaly Detection'!$A$6:$X$205,2,FALSE),"")</f>
        <v/>
      </c>
      <c r="D13" s="102">
        <f>IFERROR(VLOOKUP($B13,'Anomaly Detection'!$A$6:$X$205,3,FALSE),"")</f>
        <v/>
      </c>
      <c r="E13" s="102">
        <f>IFERROR(VLOOKUP($B13,'Anomaly Detection'!$A$6:$X$205,4,FALSE),"")</f>
        <v/>
      </c>
      <c r="F13" s="102">
        <f>IFERROR(VLOOKUP($B13,'Anomaly Detection'!$A$6:$X$205,5,FALSE),"")</f>
        <v/>
      </c>
      <c r="G13" s="102">
        <f>IFERROR(VLOOKUP($B13,'Anomaly Detection'!$A$6:$X$205,7,FALSE),"")</f>
        <v/>
      </c>
      <c r="H13" s="102">
        <f>IFERROR(VLOOKUP($B13,'Anomaly Detection'!$A$6:$X$205,8,FALSE),"")</f>
        <v/>
      </c>
      <c r="I13" s="102">
        <f>IFERROR(VLOOKUP($B13,'Anomaly Detection'!$A$6:$X$205,14,FALSE),"")</f>
        <v/>
      </c>
      <c r="J13" s="102">
        <f>IFERROR(VLOOKUP($B13,'Anomaly Detection'!$A$6:$X$205,15,FALSE),"")</f>
        <v/>
      </c>
      <c r="K13" s="102">
        <f>IFERROR(VLOOKUP($B13,'Anomaly Detection'!$A$6:$X$205,18,FALSE),"")</f>
        <v/>
      </c>
      <c r="L13" s="102" t="inlineStr">
        <is>
          <t>Open</t>
        </is>
      </c>
      <c r="M13" s="141">
        <f>IFERROR(VLOOKUP($B13,'Anomaly Detection'!$A$6:$X$205,20,FALSE),"")</f>
        <v/>
      </c>
      <c r="N13" s="141" t="n"/>
      <c r="O13" s="102">
        <f>IF($M13="","",IF(AND($L13&lt;&gt;"Closed",TODAY()&gt;$M13),"Overdue","Not overdue"))</f>
        <v/>
      </c>
      <c r="P13" s="102" t="inlineStr">
        <is>
          <t>Not classified</t>
        </is>
      </c>
      <c r="Q13" s="102" t="n"/>
      <c r="R13" s="102" t="n"/>
      <c r="S13" s="144" t="n"/>
      <c r="T13" s="102" t="n"/>
    </row>
    <row r="14">
      <c r="A14" s="102">
        <f>IF($B14="","","WO-"&amp;TEXT(ROW()-5,"0000"))</f>
        <v/>
      </c>
      <c r="B14" s="102" t="n"/>
      <c r="C14" s="141">
        <f>IFERROR(VLOOKUP($B14,'Anomaly Detection'!$A$6:$X$205,2,FALSE),"")</f>
        <v/>
      </c>
      <c r="D14" s="102">
        <f>IFERROR(VLOOKUP($B14,'Anomaly Detection'!$A$6:$X$205,3,FALSE),"")</f>
        <v/>
      </c>
      <c r="E14" s="102">
        <f>IFERROR(VLOOKUP($B14,'Anomaly Detection'!$A$6:$X$205,4,FALSE),"")</f>
        <v/>
      </c>
      <c r="F14" s="102">
        <f>IFERROR(VLOOKUP($B14,'Anomaly Detection'!$A$6:$X$205,5,FALSE),"")</f>
        <v/>
      </c>
      <c r="G14" s="102">
        <f>IFERROR(VLOOKUP($B14,'Anomaly Detection'!$A$6:$X$205,7,FALSE),"")</f>
        <v/>
      </c>
      <c r="H14" s="102">
        <f>IFERROR(VLOOKUP($B14,'Anomaly Detection'!$A$6:$X$205,8,FALSE),"")</f>
        <v/>
      </c>
      <c r="I14" s="102">
        <f>IFERROR(VLOOKUP($B14,'Anomaly Detection'!$A$6:$X$205,14,FALSE),"")</f>
        <v/>
      </c>
      <c r="J14" s="102">
        <f>IFERROR(VLOOKUP($B14,'Anomaly Detection'!$A$6:$X$205,15,FALSE),"")</f>
        <v/>
      </c>
      <c r="K14" s="102">
        <f>IFERROR(VLOOKUP($B14,'Anomaly Detection'!$A$6:$X$205,18,FALSE),"")</f>
        <v/>
      </c>
      <c r="L14" s="102" t="inlineStr">
        <is>
          <t>Open</t>
        </is>
      </c>
      <c r="M14" s="141">
        <f>IFERROR(VLOOKUP($B14,'Anomaly Detection'!$A$6:$X$205,20,FALSE),"")</f>
        <v/>
      </c>
      <c r="N14" s="141" t="n"/>
      <c r="O14" s="102">
        <f>IF($M14="","",IF(AND($L14&lt;&gt;"Closed",TODAY()&gt;$M14),"Overdue","Not overdue"))</f>
        <v/>
      </c>
      <c r="P14" s="102" t="inlineStr">
        <is>
          <t>Not classified</t>
        </is>
      </c>
      <c r="Q14" s="102" t="n"/>
      <c r="R14" s="102" t="n"/>
      <c r="S14" s="144" t="n"/>
      <c r="T14" s="102" t="n"/>
    </row>
    <row r="15">
      <c r="A15" s="102">
        <f>IF($B15="","","WO-"&amp;TEXT(ROW()-5,"0000"))</f>
        <v/>
      </c>
      <c r="B15" s="102" t="n"/>
      <c r="C15" s="141">
        <f>IFERROR(VLOOKUP($B15,'Anomaly Detection'!$A$6:$X$205,2,FALSE),"")</f>
        <v/>
      </c>
      <c r="D15" s="102">
        <f>IFERROR(VLOOKUP($B15,'Anomaly Detection'!$A$6:$X$205,3,FALSE),"")</f>
        <v/>
      </c>
      <c r="E15" s="102">
        <f>IFERROR(VLOOKUP($B15,'Anomaly Detection'!$A$6:$X$205,4,FALSE),"")</f>
        <v/>
      </c>
      <c r="F15" s="102">
        <f>IFERROR(VLOOKUP($B15,'Anomaly Detection'!$A$6:$X$205,5,FALSE),"")</f>
        <v/>
      </c>
      <c r="G15" s="102">
        <f>IFERROR(VLOOKUP($B15,'Anomaly Detection'!$A$6:$X$205,7,FALSE),"")</f>
        <v/>
      </c>
      <c r="H15" s="102">
        <f>IFERROR(VLOOKUP($B15,'Anomaly Detection'!$A$6:$X$205,8,FALSE),"")</f>
        <v/>
      </c>
      <c r="I15" s="102">
        <f>IFERROR(VLOOKUP($B15,'Anomaly Detection'!$A$6:$X$205,14,FALSE),"")</f>
        <v/>
      </c>
      <c r="J15" s="102">
        <f>IFERROR(VLOOKUP($B15,'Anomaly Detection'!$A$6:$X$205,15,FALSE),"")</f>
        <v/>
      </c>
      <c r="K15" s="102">
        <f>IFERROR(VLOOKUP($B15,'Anomaly Detection'!$A$6:$X$205,18,FALSE),"")</f>
        <v/>
      </c>
      <c r="L15" s="102" t="inlineStr">
        <is>
          <t>Open</t>
        </is>
      </c>
      <c r="M15" s="141">
        <f>IFERROR(VLOOKUP($B15,'Anomaly Detection'!$A$6:$X$205,20,FALSE),"")</f>
        <v/>
      </c>
      <c r="N15" s="141" t="n"/>
      <c r="O15" s="102">
        <f>IF($M15="","",IF(AND($L15&lt;&gt;"Closed",TODAY()&gt;$M15),"Overdue","Not overdue"))</f>
        <v/>
      </c>
      <c r="P15" s="102" t="inlineStr">
        <is>
          <t>Not classified</t>
        </is>
      </c>
      <c r="Q15" s="102" t="n"/>
      <c r="R15" s="102" t="n"/>
      <c r="S15" s="144" t="n"/>
      <c r="T15" s="102" t="n"/>
    </row>
    <row r="16">
      <c r="A16" s="102">
        <f>IF($B16="","","WO-"&amp;TEXT(ROW()-5,"0000"))</f>
        <v/>
      </c>
      <c r="B16" s="102" t="n"/>
      <c r="C16" s="141">
        <f>IFERROR(VLOOKUP($B16,'Anomaly Detection'!$A$6:$X$205,2,FALSE),"")</f>
        <v/>
      </c>
      <c r="D16" s="102">
        <f>IFERROR(VLOOKUP($B16,'Anomaly Detection'!$A$6:$X$205,3,FALSE),"")</f>
        <v/>
      </c>
      <c r="E16" s="102">
        <f>IFERROR(VLOOKUP($B16,'Anomaly Detection'!$A$6:$X$205,4,FALSE),"")</f>
        <v/>
      </c>
      <c r="F16" s="102">
        <f>IFERROR(VLOOKUP($B16,'Anomaly Detection'!$A$6:$X$205,5,FALSE),"")</f>
        <v/>
      </c>
      <c r="G16" s="102">
        <f>IFERROR(VLOOKUP($B16,'Anomaly Detection'!$A$6:$X$205,7,FALSE),"")</f>
        <v/>
      </c>
      <c r="H16" s="102">
        <f>IFERROR(VLOOKUP($B16,'Anomaly Detection'!$A$6:$X$205,8,FALSE),"")</f>
        <v/>
      </c>
      <c r="I16" s="102">
        <f>IFERROR(VLOOKUP($B16,'Anomaly Detection'!$A$6:$X$205,14,FALSE),"")</f>
        <v/>
      </c>
      <c r="J16" s="102">
        <f>IFERROR(VLOOKUP($B16,'Anomaly Detection'!$A$6:$X$205,15,FALSE),"")</f>
        <v/>
      </c>
      <c r="K16" s="102">
        <f>IFERROR(VLOOKUP($B16,'Anomaly Detection'!$A$6:$X$205,18,FALSE),"")</f>
        <v/>
      </c>
      <c r="L16" s="102" t="inlineStr">
        <is>
          <t>Open</t>
        </is>
      </c>
      <c r="M16" s="141">
        <f>IFERROR(VLOOKUP($B16,'Anomaly Detection'!$A$6:$X$205,20,FALSE),"")</f>
        <v/>
      </c>
      <c r="N16" s="141" t="n"/>
      <c r="O16" s="102">
        <f>IF($M16="","",IF(AND($L16&lt;&gt;"Closed",TODAY()&gt;$M16),"Overdue","Not overdue"))</f>
        <v/>
      </c>
      <c r="P16" s="102" t="inlineStr">
        <is>
          <t>Not classified</t>
        </is>
      </c>
      <c r="Q16" s="102" t="n"/>
      <c r="R16" s="102" t="n"/>
      <c r="S16" s="144" t="n"/>
      <c r="T16" s="102" t="n"/>
    </row>
    <row r="17">
      <c r="A17" s="102">
        <f>IF($B17="","","WO-"&amp;TEXT(ROW()-5,"0000"))</f>
        <v/>
      </c>
      <c r="B17" s="102" t="n"/>
      <c r="C17" s="141">
        <f>IFERROR(VLOOKUP($B17,'Anomaly Detection'!$A$6:$X$205,2,FALSE),"")</f>
        <v/>
      </c>
      <c r="D17" s="102">
        <f>IFERROR(VLOOKUP($B17,'Anomaly Detection'!$A$6:$X$205,3,FALSE),"")</f>
        <v/>
      </c>
      <c r="E17" s="102">
        <f>IFERROR(VLOOKUP($B17,'Anomaly Detection'!$A$6:$X$205,4,FALSE),"")</f>
        <v/>
      </c>
      <c r="F17" s="102">
        <f>IFERROR(VLOOKUP($B17,'Anomaly Detection'!$A$6:$X$205,5,FALSE),"")</f>
        <v/>
      </c>
      <c r="G17" s="102">
        <f>IFERROR(VLOOKUP($B17,'Anomaly Detection'!$A$6:$X$205,7,FALSE),"")</f>
        <v/>
      </c>
      <c r="H17" s="102">
        <f>IFERROR(VLOOKUP($B17,'Anomaly Detection'!$A$6:$X$205,8,FALSE),"")</f>
        <v/>
      </c>
      <c r="I17" s="102">
        <f>IFERROR(VLOOKUP($B17,'Anomaly Detection'!$A$6:$X$205,14,FALSE),"")</f>
        <v/>
      </c>
      <c r="J17" s="102">
        <f>IFERROR(VLOOKUP($B17,'Anomaly Detection'!$A$6:$X$205,15,FALSE),"")</f>
        <v/>
      </c>
      <c r="K17" s="102">
        <f>IFERROR(VLOOKUP($B17,'Anomaly Detection'!$A$6:$X$205,18,FALSE),"")</f>
        <v/>
      </c>
      <c r="L17" s="102" t="inlineStr">
        <is>
          <t>Open</t>
        </is>
      </c>
      <c r="M17" s="141">
        <f>IFERROR(VLOOKUP($B17,'Anomaly Detection'!$A$6:$X$205,20,FALSE),"")</f>
        <v/>
      </c>
      <c r="N17" s="141" t="n"/>
      <c r="O17" s="102">
        <f>IF($M17="","",IF(AND($L17&lt;&gt;"Closed",TODAY()&gt;$M17),"Overdue","Not overdue"))</f>
        <v/>
      </c>
      <c r="P17" s="102" t="inlineStr">
        <is>
          <t>Not classified</t>
        </is>
      </c>
      <c r="Q17" s="102" t="n"/>
      <c r="R17" s="102" t="n"/>
      <c r="S17" s="144" t="n"/>
      <c r="T17" s="102" t="n"/>
    </row>
    <row r="18">
      <c r="A18" s="102">
        <f>IF($B18="","","WO-"&amp;TEXT(ROW()-5,"0000"))</f>
        <v/>
      </c>
      <c r="B18" s="102" t="n"/>
      <c r="C18" s="141">
        <f>IFERROR(VLOOKUP($B18,'Anomaly Detection'!$A$6:$X$205,2,FALSE),"")</f>
        <v/>
      </c>
      <c r="D18" s="102">
        <f>IFERROR(VLOOKUP($B18,'Anomaly Detection'!$A$6:$X$205,3,FALSE),"")</f>
        <v/>
      </c>
      <c r="E18" s="102">
        <f>IFERROR(VLOOKUP($B18,'Anomaly Detection'!$A$6:$X$205,4,FALSE),"")</f>
        <v/>
      </c>
      <c r="F18" s="102">
        <f>IFERROR(VLOOKUP($B18,'Anomaly Detection'!$A$6:$X$205,5,FALSE),"")</f>
        <v/>
      </c>
      <c r="G18" s="102">
        <f>IFERROR(VLOOKUP($B18,'Anomaly Detection'!$A$6:$X$205,7,FALSE),"")</f>
        <v/>
      </c>
      <c r="H18" s="102">
        <f>IFERROR(VLOOKUP($B18,'Anomaly Detection'!$A$6:$X$205,8,FALSE),"")</f>
        <v/>
      </c>
      <c r="I18" s="102">
        <f>IFERROR(VLOOKUP($B18,'Anomaly Detection'!$A$6:$X$205,14,FALSE),"")</f>
        <v/>
      </c>
      <c r="J18" s="102">
        <f>IFERROR(VLOOKUP($B18,'Anomaly Detection'!$A$6:$X$205,15,FALSE),"")</f>
        <v/>
      </c>
      <c r="K18" s="102">
        <f>IFERROR(VLOOKUP($B18,'Anomaly Detection'!$A$6:$X$205,18,FALSE),"")</f>
        <v/>
      </c>
      <c r="L18" s="102" t="inlineStr">
        <is>
          <t>Open</t>
        </is>
      </c>
      <c r="M18" s="141">
        <f>IFERROR(VLOOKUP($B18,'Anomaly Detection'!$A$6:$X$205,20,FALSE),"")</f>
        <v/>
      </c>
      <c r="N18" s="141" t="n"/>
      <c r="O18" s="102">
        <f>IF($M18="","",IF(AND($L18&lt;&gt;"Closed",TODAY()&gt;$M18),"Overdue","Not overdue"))</f>
        <v/>
      </c>
      <c r="P18" s="102" t="inlineStr">
        <is>
          <t>Not classified</t>
        </is>
      </c>
      <c r="Q18" s="102" t="n"/>
      <c r="R18" s="102" t="n"/>
      <c r="S18" s="144" t="n"/>
      <c r="T18" s="102" t="n"/>
    </row>
    <row r="19">
      <c r="A19" s="102">
        <f>IF($B19="","","WO-"&amp;TEXT(ROW()-5,"0000"))</f>
        <v/>
      </c>
      <c r="B19" s="102" t="n"/>
      <c r="C19" s="141">
        <f>IFERROR(VLOOKUP($B19,'Anomaly Detection'!$A$6:$X$205,2,FALSE),"")</f>
        <v/>
      </c>
      <c r="D19" s="102">
        <f>IFERROR(VLOOKUP($B19,'Anomaly Detection'!$A$6:$X$205,3,FALSE),"")</f>
        <v/>
      </c>
      <c r="E19" s="102">
        <f>IFERROR(VLOOKUP($B19,'Anomaly Detection'!$A$6:$X$205,4,FALSE),"")</f>
        <v/>
      </c>
      <c r="F19" s="102">
        <f>IFERROR(VLOOKUP($B19,'Anomaly Detection'!$A$6:$X$205,5,FALSE),"")</f>
        <v/>
      </c>
      <c r="G19" s="102">
        <f>IFERROR(VLOOKUP($B19,'Anomaly Detection'!$A$6:$X$205,7,FALSE),"")</f>
        <v/>
      </c>
      <c r="H19" s="102">
        <f>IFERROR(VLOOKUP($B19,'Anomaly Detection'!$A$6:$X$205,8,FALSE),"")</f>
        <v/>
      </c>
      <c r="I19" s="102">
        <f>IFERROR(VLOOKUP($B19,'Anomaly Detection'!$A$6:$X$205,14,FALSE),"")</f>
        <v/>
      </c>
      <c r="J19" s="102">
        <f>IFERROR(VLOOKUP($B19,'Anomaly Detection'!$A$6:$X$205,15,FALSE),"")</f>
        <v/>
      </c>
      <c r="K19" s="102">
        <f>IFERROR(VLOOKUP($B19,'Anomaly Detection'!$A$6:$X$205,18,FALSE),"")</f>
        <v/>
      </c>
      <c r="L19" s="102" t="inlineStr">
        <is>
          <t>Open</t>
        </is>
      </c>
      <c r="M19" s="141">
        <f>IFERROR(VLOOKUP($B19,'Anomaly Detection'!$A$6:$X$205,20,FALSE),"")</f>
        <v/>
      </c>
      <c r="N19" s="141" t="n"/>
      <c r="O19" s="102">
        <f>IF($M19="","",IF(AND($L19&lt;&gt;"Closed",TODAY()&gt;$M19),"Overdue","Not overdue"))</f>
        <v/>
      </c>
      <c r="P19" s="102" t="inlineStr">
        <is>
          <t>Not classified</t>
        </is>
      </c>
      <c r="Q19" s="102" t="n"/>
      <c r="R19" s="102" t="n"/>
      <c r="S19" s="144" t="n"/>
      <c r="T19" s="102" t="n"/>
    </row>
    <row r="20">
      <c r="A20" s="102">
        <f>IF($B20="","","WO-"&amp;TEXT(ROW()-5,"0000"))</f>
        <v/>
      </c>
      <c r="B20" s="102" t="n"/>
      <c r="C20" s="141">
        <f>IFERROR(VLOOKUP($B20,'Anomaly Detection'!$A$6:$X$205,2,FALSE),"")</f>
        <v/>
      </c>
      <c r="D20" s="102">
        <f>IFERROR(VLOOKUP($B20,'Anomaly Detection'!$A$6:$X$205,3,FALSE),"")</f>
        <v/>
      </c>
      <c r="E20" s="102">
        <f>IFERROR(VLOOKUP($B20,'Anomaly Detection'!$A$6:$X$205,4,FALSE),"")</f>
        <v/>
      </c>
      <c r="F20" s="102">
        <f>IFERROR(VLOOKUP($B20,'Anomaly Detection'!$A$6:$X$205,5,FALSE),"")</f>
        <v/>
      </c>
      <c r="G20" s="102">
        <f>IFERROR(VLOOKUP($B20,'Anomaly Detection'!$A$6:$X$205,7,FALSE),"")</f>
        <v/>
      </c>
      <c r="H20" s="102">
        <f>IFERROR(VLOOKUP($B20,'Anomaly Detection'!$A$6:$X$205,8,FALSE),"")</f>
        <v/>
      </c>
      <c r="I20" s="102">
        <f>IFERROR(VLOOKUP($B20,'Anomaly Detection'!$A$6:$X$205,14,FALSE),"")</f>
        <v/>
      </c>
      <c r="J20" s="102">
        <f>IFERROR(VLOOKUP($B20,'Anomaly Detection'!$A$6:$X$205,15,FALSE),"")</f>
        <v/>
      </c>
      <c r="K20" s="102">
        <f>IFERROR(VLOOKUP($B20,'Anomaly Detection'!$A$6:$X$205,18,FALSE),"")</f>
        <v/>
      </c>
      <c r="L20" s="102" t="inlineStr">
        <is>
          <t>Open</t>
        </is>
      </c>
      <c r="M20" s="141">
        <f>IFERROR(VLOOKUP($B20,'Anomaly Detection'!$A$6:$X$205,20,FALSE),"")</f>
        <v/>
      </c>
      <c r="N20" s="141" t="n"/>
      <c r="O20" s="102">
        <f>IF($M20="","",IF(AND($L20&lt;&gt;"Closed",TODAY()&gt;$M20),"Overdue","Not overdue"))</f>
        <v/>
      </c>
      <c r="P20" s="102" t="inlineStr">
        <is>
          <t>Not classified</t>
        </is>
      </c>
      <c r="Q20" s="102" t="n"/>
      <c r="R20" s="102" t="n"/>
      <c r="S20" s="144" t="n"/>
      <c r="T20" s="102" t="n"/>
    </row>
    <row r="21">
      <c r="A21" s="102">
        <f>IF($B21="","","WO-"&amp;TEXT(ROW()-5,"0000"))</f>
        <v/>
      </c>
      <c r="B21" s="102" t="n"/>
      <c r="C21" s="141">
        <f>IFERROR(VLOOKUP($B21,'Anomaly Detection'!$A$6:$X$205,2,FALSE),"")</f>
        <v/>
      </c>
      <c r="D21" s="102">
        <f>IFERROR(VLOOKUP($B21,'Anomaly Detection'!$A$6:$X$205,3,FALSE),"")</f>
        <v/>
      </c>
      <c r="E21" s="102">
        <f>IFERROR(VLOOKUP($B21,'Anomaly Detection'!$A$6:$X$205,4,FALSE),"")</f>
        <v/>
      </c>
      <c r="F21" s="102">
        <f>IFERROR(VLOOKUP($B21,'Anomaly Detection'!$A$6:$X$205,5,FALSE),"")</f>
        <v/>
      </c>
      <c r="G21" s="102">
        <f>IFERROR(VLOOKUP($B21,'Anomaly Detection'!$A$6:$X$205,7,FALSE),"")</f>
        <v/>
      </c>
      <c r="H21" s="102">
        <f>IFERROR(VLOOKUP($B21,'Anomaly Detection'!$A$6:$X$205,8,FALSE),"")</f>
        <v/>
      </c>
      <c r="I21" s="102">
        <f>IFERROR(VLOOKUP($B21,'Anomaly Detection'!$A$6:$X$205,14,FALSE),"")</f>
        <v/>
      </c>
      <c r="J21" s="102">
        <f>IFERROR(VLOOKUP($B21,'Anomaly Detection'!$A$6:$X$205,15,FALSE),"")</f>
        <v/>
      </c>
      <c r="K21" s="102">
        <f>IFERROR(VLOOKUP($B21,'Anomaly Detection'!$A$6:$X$205,18,FALSE),"")</f>
        <v/>
      </c>
      <c r="L21" s="102" t="inlineStr">
        <is>
          <t>Open</t>
        </is>
      </c>
      <c r="M21" s="141">
        <f>IFERROR(VLOOKUP($B21,'Anomaly Detection'!$A$6:$X$205,20,FALSE),"")</f>
        <v/>
      </c>
      <c r="N21" s="141" t="n"/>
      <c r="O21" s="102">
        <f>IF($M21="","",IF(AND($L21&lt;&gt;"Closed",TODAY()&gt;$M21),"Overdue","Not overdue"))</f>
        <v/>
      </c>
      <c r="P21" s="102" t="inlineStr">
        <is>
          <t>Not classified</t>
        </is>
      </c>
      <c r="Q21" s="102" t="n"/>
      <c r="R21" s="102" t="n"/>
      <c r="S21" s="144" t="n"/>
      <c r="T21" s="102" t="n"/>
    </row>
    <row r="22">
      <c r="A22" s="102">
        <f>IF($B22="","","WO-"&amp;TEXT(ROW()-5,"0000"))</f>
        <v/>
      </c>
      <c r="B22" s="102" t="n"/>
      <c r="C22" s="141">
        <f>IFERROR(VLOOKUP($B22,'Anomaly Detection'!$A$6:$X$205,2,FALSE),"")</f>
        <v/>
      </c>
      <c r="D22" s="102">
        <f>IFERROR(VLOOKUP($B22,'Anomaly Detection'!$A$6:$X$205,3,FALSE),"")</f>
        <v/>
      </c>
      <c r="E22" s="102">
        <f>IFERROR(VLOOKUP($B22,'Anomaly Detection'!$A$6:$X$205,4,FALSE),"")</f>
        <v/>
      </c>
      <c r="F22" s="102">
        <f>IFERROR(VLOOKUP($B22,'Anomaly Detection'!$A$6:$X$205,5,FALSE),"")</f>
        <v/>
      </c>
      <c r="G22" s="102">
        <f>IFERROR(VLOOKUP($B22,'Anomaly Detection'!$A$6:$X$205,7,FALSE),"")</f>
        <v/>
      </c>
      <c r="H22" s="102">
        <f>IFERROR(VLOOKUP($B22,'Anomaly Detection'!$A$6:$X$205,8,FALSE),"")</f>
        <v/>
      </c>
      <c r="I22" s="102">
        <f>IFERROR(VLOOKUP($B22,'Anomaly Detection'!$A$6:$X$205,14,FALSE),"")</f>
        <v/>
      </c>
      <c r="J22" s="102">
        <f>IFERROR(VLOOKUP($B22,'Anomaly Detection'!$A$6:$X$205,15,FALSE),"")</f>
        <v/>
      </c>
      <c r="K22" s="102">
        <f>IFERROR(VLOOKUP($B22,'Anomaly Detection'!$A$6:$X$205,18,FALSE),"")</f>
        <v/>
      </c>
      <c r="L22" s="102" t="inlineStr">
        <is>
          <t>Open</t>
        </is>
      </c>
      <c r="M22" s="141">
        <f>IFERROR(VLOOKUP($B22,'Anomaly Detection'!$A$6:$X$205,20,FALSE),"")</f>
        <v/>
      </c>
      <c r="N22" s="141" t="n"/>
      <c r="O22" s="102">
        <f>IF($M22="","",IF(AND($L22&lt;&gt;"Closed",TODAY()&gt;$M22),"Overdue","Not overdue"))</f>
        <v/>
      </c>
      <c r="P22" s="102" t="inlineStr">
        <is>
          <t>Not classified</t>
        </is>
      </c>
      <c r="Q22" s="102" t="n"/>
      <c r="R22" s="102" t="n"/>
      <c r="S22" s="144" t="n"/>
      <c r="T22" s="102" t="n"/>
    </row>
    <row r="23">
      <c r="A23" s="102">
        <f>IF($B23="","","WO-"&amp;TEXT(ROW()-5,"0000"))</f>
        <v/>
      </c>
      <c r="B23" s="102" t="n"/>
      <c r="C23" s="141">
        <f>IFERROR(VLOOKUP($B23,'Anomaly Detection'!$A$6:$X$205,2,FALSE),"")</f>
        <v/>
      </c>
      <c r="D23" s="102">
        <f>IFERROR(VLOOKUP($B23,'Anomaly Detection'!$A$6:$X$205,3,FALSE),"")</f>
        <v/>
      </c>
      <c r="E23" s="102">
        <f>IFERROR(VLOOKUP($B23,'Anomaly Detection'!$A$6:$X$205,4,FALSE),"")</f>
        <v/>
      </c>
      <c r="F23" s="102">
        <f>IFERROR(VLOOKUP($B23,'Anomaly Detection'!$A$6:$X$205,5,FALSE),"")</f>
        <v/>
      </c>
      <c r="G23" s="102">
        <f>IFERROR(VLOOKUP($B23,'Anomaly Detection'!$A$6:$X$205,7,FALSE),"")</f>
        <v/>
      </c>
      <c r="H23" s="102">
        <f>IFERROR(VLOOKUP($B23,'Anomaly Detection'!$A$6:$X$205,8,FALSE),"")</f>
        <v/>
      </c>
      <c r="I23" s="102">
        <f>IFERROR(VLOOKUP($B23,'Anomaly Detection'!$A$6:$X$205,14,FALSE),"")</f>
        <v/>
      </c>
      <c r="J23" s="102">
        <f>IFERROR(VLOOKUP($B23,'Anomaly Detection'!$A$6:$X$205,15,FALSE),"")</f>
        <v/>
      </c>
      <c r="K23" s="102">
        <f>IFERROR(VLOOKUP($B23,'Anomaly Detection'!$A$6:$X$205,18,FALSE),"")</f>
        <v/>
      </c>
      <c r="L23" s="102" t="inlineStr">
        <is>
          <t>Open</t>
        </is>
      </c>
      <c r="M23" s="141">
        <f>IFERROR(VLOOKUP($B23,'Anomaly Detection'!$A$6:$X$205,20,FALSE),"")</f>
        <v/>
      </c>
      <c r="N23" s="141" t="n"/>
      <c r="O23" s="102">
        <f>IF($M23="","",IF(AND($L23&lt;&gt;"Closed",TODAY()&gt;$M23),"Overdue","Not overdue"))</f>
        <v/>
      </c>
      <c r="P23" s="102" t="inlineStr">
        <is>
          <t>Not classified</t>
        </is>
      </c>
      <c r="Q23" s="102" t="n"/>
      <c r="R23" s="102" t="n"/>
      <c r="S23" s="144" t="n"/>
      <c r="T23" s="102" t="n"/>
    </row>
    <row r="24">
      <c r="A24" s="102">
        <f>IF($B24="","","WO-"&amp;TEXT(ROW()-5,"0000"))</f>
        <v/>
      </c>
      <c r="B24" s="102" t="n"/>
      <c r="C24" s="141">
        <f>IFERROR(VLOOKUP($B24,'Anomaly Detection'!$A$6:$X$205,2,FALSE),"")</f>
        <v/>
      </c>
      <c r="D24" s="102">
        <f>IFERROR(VLOOKUP($B24,'Anomaly Detection'!$A$6:$X$205,3,FALSE),"")</f>
        <v/>
      </c>
      <c r="E24" s="102">
        <f>IFERROR(VLOOKUP($B24,'Anomaly Detection'!$A$6:$X$205,4,FALSE),"")</f>
        <v/>
      </c>
      <c r="F24" s="102">
        <f>IFERROR(VLOOKUP($B24,'Anomaly Detection'!$A$6:$X$205,5,FALSE),"")</f>
        <v/>
      </c>
      <c r="G24" s="102">
        <f>IFERROR(VLOOKUP($B24,'Anomaly Detection'!$A$6:$X$205,7,FALSE),"")</f>
        <v/>
      </c>
      <c r="H24" s="102">
        <f>IFERROR(VLOOKUP($B24,'Anomaly Detection'!$A$6:$X$205,8,FALSE),"")</f>
        <v/>
      </c>
      <c r="I24" s="102">
        <f>IFERROR(VLOOKUP($B24,'Anomaly Detection'!$A$6:$X$205,14,FALSE),"")</f>
        <v/>
      </c>
      <c r="J24" s="102">
        <f>IFERROR(VLOOKUP($B24,'Anomaly Detection'!$A$6:$X$205,15,FALSE),"")</f>
        <v/>
      </c>
      <c r="K24" s="102">
        <f>IFERROR(VLOOKUP($B24,'Anomaly Detection'!$A$6:$X$205,18,FALSE),"")</f>
        <v/>
      </c>
      <c r="L24" s="102" t="inlineStr">
        <is>
          <t>Open</t>
        </is>
      </c>
      <c r="M24" s="141">
        <f>IFERROR(VLOOKUP($B24,'Anomaly Detection'!$A$6:$X$205,20,FALSE),"")</f>
        <v/>
      </c>
      <c r="N24" s="141" t="n"/>
      <c r="O24" s="102">
        <f>IF($M24="","",IF(AND($L24&lt;&gt;"Closed",TODAY()&gt;$M24),"Overdue","Not overdue"))</f>
        <v/>
      </c>
      <c r="P24" s="102" t="inlineStr">
        <is>
          <t>Not classified</t>
        </is>
      </c>
      <c r="Q24" s="102" t="n"/>
      <c r="R24" s="102" t="n"/>
      <c r="S24" s="144" t="n"/>
      <c r="T24" s="102" t="n"/>
    </row>
    <row r="25">
      <c r="A25" s="102">
        <f>IF($B25="","","WO-"&amp;TEXT(ROW()-5,"0000"))</f>
        <v/>
      </c>
      <c r="B25" s="102" t="n"/>
      <c r="C25" s="141">
        <f>IFERROR(VLOOKUP($B25,'Anomaly Detection'!$A$6:$X$205,2,FALSE),"")</f>
        <v/>
      </c>
      <c r="D25" s="102">
        <f>IFERROR(VLOOKUP($B25,'Anomaly Detection'!$A$6:$X$205,3,FALSE),"")</f>
        <v/>
      </c>
      <c r="E25" s="102">
        <f>IFERROR(VLOOKUP($B25,'Anomaly Detection'!$A$6:$X$205,4,FALSE),"")</f>
        <v/>
      </c>
      <c r="F25" s="102">
        <f>IFERROR(VLOOKUP($B25,'Anomaly Detection'!$A$6:$X$205,5,FALSE),"")</f>
        <v/>
      </c>
      <c r="G25" s="102">
        <f>IFERROR(VLOOKUP($B25,'Anomaly Detection'!$A$6:$X$205,7,FALSE),"")</f>
        <v/>
      </c>
      <c r="H25" s="102">
        <f>IFERROR(VLOOKUP($B25,'Anomaly Detection'!$A$6:$X$205,8,FALSE),"")</f>
        <v/>
      </c>
      <c r="I25" s="102">
        <f>IFERROR(VLOOKUP($B25,'Anomaly Detection'!$A$6:$X$205,14,FALSE),"")</f>
        <v/>
      </c>
      <c r="J25" s="102">
        <f>IFERROR(VLOOKUP($B25,'Anomaly Detection'!$A$6:$X$205,15,FALSE),"")</f>
        <v/>
      </c>
      <c r="K25" s="102">
        <f>IFERROR(VLOOKUP($B25,'Anomaly Detection'!$A$6:$X$205,18,FALSE),"")</f>
        <v/>
      </c>
      <c r="L25" s="102" t="inlineStr">
        <is>
          <t>Open</t>
        </is>
      </c>
      <c r="M25" s="141">
        <f>IFERROR(VLOOKUP($B25,'Anomaly Detection'!$A$6:$X$205,20,FALSE),"")</f>
        <v/>
      </c>
      <c r="N25" s="141" t="n"/>
      <c r="O25" s="102">
        <f>IF($M25="","",IF(AND($L25&lt;&gt;"Closed",TODAY()&gt;$M25),"Overdue","Not overdue"))</f>
        <v/>
      </c>
      <c r="P25" s="102" t="inlineStr">
        <is>
          <t>Not classified</t>
        </is>
      </c>
      <c r="Q25" s="102" t="n"/>
      <c r="R25" s="102" t="n"/>
      <c r="S25" s="144" t="n"/>
      <c r="T25" s="102" t="n"/>
    </row>
    <row r="26">
      <c r="A26" s="102">
        <f>IF($B26="","","WO-"&amp;TEXT(ROW()-5,"0000"))</f>
        <v/>
      </c>
      <c r="B26" s="102" t="n"/>
      <c r="C26" s="141">
        <f>IFERROR(VLOOKUP($B26,'Anomaly Detection'!$A$6:$X$205,2,FALSE),"")</f>
        <v/>
      </c>
      <c r="D26" s="102">
        <f>IFERROR(VLOOKUP($B26,'Anomaly Detection'!$A$6:$X$205,3,FALSE),"")</f>
        <v/>
      </c>
      <c r="E26" s="102">
        <f>IFERROR(VLOOKUP($B26,'Anomaly Detection'!$A$6:$X$205,4,FALSE),"")</f>
        <v/>
      </c>
      <c r="F26" s="102">
        <f>IFERROR(VLOOKUP($B26,'Anomaly Detection'!$A$6:$X$205,5,FALSE),"")</f>
        <v/>
      </c>
      <c r="G26" s="102">
        <f>IFERROR(VLOOKUP($B26,'Anomaly Detection'!$A$6:$X$205,7,FALSE),"")</f>
        <v/>
      </c>
      <c r="H26" s="102">
        <f>IFERROR(VLOOKUP($B26,'Anomaly Detection'!$A$6:$X$205,8,FALSE),"")</f>
        <v/>
      </c>
      <c r="I26" s="102">
        <f>IFERROR(VLOOKUP($B26,'Anomaly Detection'!$A$6:$X$205,14,FALSE),"")</f>
        <v/>
      </c>
      <c r="J26" s="102">
        <f>IFERROR(VLOOKUP($B26,'Anomaly Detection'!$A$6:$X$205,15,FALSE),"")</f>
        <v/>
      </c>
      <c r="K26" s="102">
        <f>IFERROR(VLOOKUP($B26,'Anomaly Detection'!$A$6:$X$205,18,FALSE),"")</f>
        <v/>
      </c>
      <c r="L26" s="102" t="inlineStr">
        <is>
          <t>Open</t>
        </is>
      </c>
      <c r="M26" s="141">
        <f>IFERROR(VLOOKUP($B26,'Anomaly Detection'!$A$6:$X$205,20,FALSE),"")</f>
        <v/>
      </c>
      <c r="N26" s="141" t="n"/>
      <c r="O26" s="102">
        <f>IF($M26="","",IF(AND($L26&lt;&gt;"Closed",TODAY()&gt;$M26),"Overdue","Not overdue"))</f>
        <v/>
      </c>
      <c r="P26" s="102" t="inlineStr">
        <is>
          <t>Not classified</t>
        </is>
      </c>
      <c r="Q26" s="102" t="n"/>
      <c r="R26" s="102" t="n"/>
      <c r="S26" s="144" t="n"/>
      <c r="T26" s="102" t="n"/>
    </row>
    <row r="27">
      <c r="A27" s="102">
        <f>IF($B27="","","WO-"&amp;TEXT(ROW()-5,"0000"))</f>
        <v/>
      </c>
      <c r="B27" s="102" t="n"/>
      <c r="C27" s="141">
        <f>IFERROR(VLOOKUP($B27,'Anomaly Detection'!$A$6:$X$205,2,FALSE),"")</f>
        <v/>
      </c>
      <c r="D27" s="102">
        <f>IFERROR(VLOOKUP($B27,'Anomaly Detection'!$A$6:$X$205,3,FALSE),"")</f>
        <v/>
      </c>
      <c r="E27" s="102">
        <f>IFERROR(VLOOKUP($B27,'Anomaly Detection'!$A$6:$X$205,4,FALSE),"")</f>
        <v/>
      </c>
      <c r="F27" s="102">
        <f>IFERROR(VLOOKUP($B27,'Anomaly Detection'!$A$6:$X$205,5,FALSE),"")</f>
        <v/>
      </c>
      <c r="G27" s="102">
        <f>IFERROR(VLOOKUP($B27,'Anomaly Detection'!$A$6:$X$205,7,FALSE),"")</f>
        <v/>
      </c>
      <c r="H27" s="102">
        <f>IFERROR(VLOOKUP($B27,'Anomaly Detection'!$A$6:$X$205,8,FALSE),"")</f>
        <v/>
      </c>
      <c r="I27" s="102">
        <f>IFERROR(VLOOKUP($B27,'Anomaly Detection'!$A$6:$X$205,14,FALSE),"")</f>
        <v/>
      </c>
      <c r="J27" s="102">
        <f>IFERROR(VLOOKUP($B27,'Anomaly Detection'!$A$6:$X$205,15,FALSE),"")</f>
        <v/>
      </c>
      <c r="K27" s="102">
        <f>IFERROR(VLOOKUP($B27,'Anomaly Detection'!$A$6:$X$205,18,FALSE),"")</f>
        <v/>
      </c>
      <c r="L27" s="102" t="inlineStr">
        <is>
          <t>Open</t>
        </is>
      </c>
      <c r="M27" s="141">
        <f>IFERROR(VLOOKUP($B27,'Anomaly Detection'!$A$6:$X$205,20,FALSE),"")</f>
        <v/>
      </c>
      <c r="N27" s="141" t="n"/>
      <c r="O27" s="102">
        <f>IF($M27="","",IF(AND($L27&lt;&gt;"Closed",TODAY()&gt;$M27),"Overdue","Not overdue"))</f>
        <v/>
      </c>
      <c r="P27" s="102" t="inlineStr">
        <is>
          <t>Not classified</t>
        </is>
      </c>
      <c r="Q27" s="102" t="n"/>
      <c r="R27" s="102" t="n"/>
      <c r="S27" s="144" t="n"/>
      <c r="T27" s="102" t="n"/>
    </row>
    <row r="28">
      <c r="A28" s="102">
        <f>IF($B28="","","WO-"&amp;TEXT(ROW()-5,"0000"))</f>
        <v/>
      </c>
      <c r="B28" s="102" t="n"/>
      <c r="C28" s="141">
        <f>IFERROR(VLOOKUP($B28,'Anomaly Detection'!$A$6:$X$205,2,FALSE),"")</f>
        <v/>
      </c>
      <c r="D28" s="102">
        <f>IFERROR(VLOOKUP($B28,'Anomaly Detection'!$A$6:$X$205,3,FALSE),"")</f>
        <v/>
      </c>
      <c r="E28" s="102">
        <f>IFERROR(VLOOKUP($B28,'Anomaly Detection'!$A$6:$X$205,4,FALSE),"")</f>
        <v/>
      </c>
      <c r="F28" s="102">
        <f>IFERROR(VLOOKUP($B28,'Anomaly Detection'!$A$6:$X$205,5,FALSE),"")</f>
        <v/>
      </c>
      <c r="G28" s="102">
        <f>IFERROR(VLOOKUP($B28,'Anomaly Detection'!$A$6:$X$205,7,FALSE),"")</f>
        <v/>
      </c>
      <c r="H28" s="102">
        <f>IFERROR(VLOOKUP($B28,'Anomaly Detection'!$A$6:$X$205,8,FALSE),"")</f>
        <v/>
      </c>
      <c r="I28" s="102">
        <f>IFERROR(VLOOKUP($B28,'Anomaly Detection'!$A$6:$X$205,14,FALSE),"")</f>
        <v/>
      </c>
      <c r="J28" s="102">
        <f>IFERROR(VLOOKUP($B28,'Anomaly Detection'!$A$6:$X$205,15,FALSE),"")</f>
        <v/>
      </c>
      <c r="K28" s="102">
        <f>IFERROR(VLOOKUP($B28,'Anomaly Detection'!$A$6:$X$205,18,FALSE),"")</f>
        <v/>
      </c>
      <c r="L28" s="102" t="inlineStr">
        <is>
          <t>Open</t>
        </is>
      </c>
      <c r="M28" s="141">
        <f>IFERROR(VLOOKUP($B28,'Anomaly Detection'!$A$6:$X$205,20,FALSE),"")</f>
        <v/>
      </c>
      <c r="N28" s="141" t="n"/>
      <c r="O28" s="102">
        <f>IF($M28="","",IF(AND($L28&lt;&gt;"Closed",TODAY()&gt;$M28),"Overdue","Not overdue"))</f>
        <v/>
      </c>
      <c r="P28" s="102" t="inlineStr">
        <is>
          <t>Not classified</t>
        </is>
      </c>
      <c r="Q28" s="102" t="n"/>
      <c r="R28" s="102" t="n"/>
      <c r="S28" s="144" t="n"/>
      <c r="T28" s="102" t="n"/>
    </row>
    <row r="29">
      <c r="A29" s="102">
        <f>IF($B29="","","WO-"&amp;TEXT(ROW()-5,"0000"))</f>
        <v/>
      </c>
      <c r="B29" s="102" t="n"/>
      <c r="C29" s="141">
        <f>IFERROR(VLOOKUP($B29,'Anomaly Detection'!$A$6:$X$205,2,FALSE),"")</f>
        <v/>
      </c>
      <c r="D29" s="102">
        <f>IFERROR(VLOOKUP($B29,'Anomaly Detection'!$A$6:$X$205,3,FALSE),"")</f>
        <v/>
      </c>
      <c r="E29" s="102">
        <f>IFERROR(VLOOKUP($B29,'Anomaly Detection'!$A$6:$X$205,4,FALSE),"")</f>
        <v/>
      </c>
      <c r="F29" s="102">
        <f>IFERROR(VLOOKUP($B29,'Anomaly Detection'!$A$6:$X$205,5,FALSE),"")</f>
        <v/>
      </c>
      <c r="G29" s="102">
        <f>IFERROR(VLOOKUP($B29,'Anomaly Detection'!$A$6:$X$205,7,FALSE),"")</f>
        <v/>
      </c>
      <c r="H29" s="102">
        <f>IFERROR(VLOOKUP($B29,'Anomaly Detection'!$A$6:$X$205,8,FALSE),"")</f>
        <v/>
      </c>
      <c r="I29" s="102">
        <f>IFERROR(VLOOKUP($B29,'Anomaly Detection'!$A$6:$X$205,14,FALSE),"")</f>
        <v/>
      </c>
      <c r="J29" s="102">
        <f>IFERROR(VLOOKUP($B29,'Anomaly Detection'!$A$6:$X$205,15,FALSE),"")</f>
        <v/>
      </c>
      <c r="K29" s="102">
        <f>IFERROR(VLOOKUP($B29,'Anomaly Detection'!$A$6:$X$205,18,FALSE),"")</f>
        <v/>
      </c>
      <c r="L29" s="102" t="inlineStr">
        <is>
          <t>Open</t>
        </is>
      </c>
      <c r="M29" s="141">
        <f>IFERROR(VLOOKUP($B29,'Anomaly Detection'!$A$6:$X$205,20,FALSE),"")</f>
        <v/>
      </c>
      <c r="N29" s="141" t="n"/>
      <c r="O29" s="102">
        <f>IF($M29="","",IF(AND($L29&lt;&gt;"Closed",TODAY()&gt;$M29),"Overdue","Not overdue"))</f>
        <v/>
      </c>
      <c r="P29" s="102" t="inlineStr">
        <is>
          <t>Not classified</t>
        </is>
      </c>
      <c r="Q29" s="102" t="n"/>
      <c r="R29" s="102" t="n"/>
      <c r="S29" s="144" t="n"/>
      <c r="T29" s="102" t="n"/>
    </row>
    <row r="30">
      <c r="A30" s="102">
        <f>IF($B30="","","WO-"&amp;TEXT(ROW()-5,"0000"))</f>
        <v/>
      </c>
      <c r="B30" s="102" t="n"/>
      <c r="C30" s="141">
        <f>IFERROR(VLOOKUP($B30,'Anomaly Detection'!$A$6:$X$205,2,FALSE),"")</f>
        <v/>
      </c>
      <c r="D30" s="102">
        <f>IFERROR(VLOOKUP($B30,'Anomaly Detection'!$A$6:$X$205,3,FALSE),"")</f>
        <v/>
      </c>
      <c r="E30" s="102">
        <f>IFERROR(VLOOKUP($B30,'Anomaly Detection'!$A$6:$X$205,4,FALSE),"")</f>
        <v/>
      </c>
      <c r="F30" s="102">
        <f>IFERROR(VLOOKUP($B30,'Anomaly Detection'!$A$6:$X$205,5,FALSE),"")</f>
        <v/>
      </c>
      <c r="G30" s="102">
        <f>IFERROR(VLOOKUP($B30,'Anomaly Detection'!$A$6:$X$205,7,FALSE),"")</f>
        <v/>
      </c>
      <c r="H30" s="102">
        <f>IFERROR(VLOOKUP($B30,'Anomaly Detection'!$A$6:$X$205,8,FALSE),"")</f>
        <v/>
      </c>
      <c r="I30" s="102">
        <f>IFERROR(VLOOKUP($B30,'Anomaly Detection'!$A$6:$X$205,14,FALSE),"")</f>
        <v/>
      </c>
      <c r="J30" s="102">
        <f>IFERROR(VLOOKUP($B30,'Anomaly Detection'!$A$6:$X$205,15,FALSE),"")</f>
        <v/>
      </c>
      <c r="K30" s="102">
        <f>IFERROR(VLOOKUP($B30,'Anomaly Detection'!$A$6:$X$205,18,FALSE),"")</f>
        <v/>
      </c>
      <c r="L30" s="102" t="inlineStr">
        <is>
          <t>Open</t>
        </is>
      </c>
      <c r="M30" s="141">
        <f>IFERROR(VLOOKUP($B30,'Anomaly Detection'!$A$6:$X$205,20,FALSE),"")</f>
        <v/>
      </c>
      <c r="N30" s="141" t="n"/>
      <c r="O30" s="102">
        <f>IF($M30="","",IF(AND($L30&lt;&gt;"Closed",TODAY()&gt;$M30),"Overdue","Not overdue"))</f>
        <v/>
      </c>
      <c r="P30" s="102" t="inlineStr">
        <is>
          <t>Not classified</t>
        </is>
      </c>
      <c r="Q30" s="102" t="n"/>
      <c r="R30" s="102" t="n"/>
      <c r="S30" s="144" t="n"/>
      <c r="T30" s="102" t="n"/>
    </row>
    <row r="31">
      <c r="A31" s="102">
        <f>IF($B31="","","WO-"&amp;TEXT(ROW()-5,"0000"))</f>
        <v/>
      </c>
      <c r="B31" s="102" t="n"/>
      <c r="C31" s="141">
        <f>IFERROR(VLOOKUP($B31,'Anomaly Detection'!$A$6:$X$205,2,FALSE),"")</f>
        <v/>
      </c>
      <c r="D31" s="102">
        <f>IFERROR(VLOOKUP($B31,'Anomaly Detection'!$A$6:$X$205,3,FALSE),"")</f>
        <v/>
      </c>
      <c r="E31" s="102">
        <f>IFERROR(VLOOKUP($B31,'Anomaly Detection'!$A$6:$X$205,4,FALSE),"")</f>
        <v/>
      </c>
      <c r="F31" s="102">
        <f>IFERROR(VLOOKUP($B31,'Anomaly Detection'!$A$6:$X$205,5,FALSE),"")</f>
        <v/>
      </c>
      <c r="G31" s="102">
        <f>IFERROR(VLOOKUP($B31,'Anomaly Detection'!$A$6:$X$205,7,FALSE),"")</f>
        <v/>
      </c>
      <c r="H31" s="102">
        <f>IFERROR(VLOOKUP($B31,'Anomaly Detection'!$A$6:$X$205,8,FALSE),"")</f>
        <v/>
      </c>
      <c r="I31" s="102">
        <f>IFERROR(VLOOKUP($B31,'Anomaly Detection'!$A$6:$X$205,14,FALSE),"")</f>
        <v/>
      </c>
      <c r="J31" s="102">
        <f>IFERROR(VLOOKUP($B31,'Anomaly Detection'!$A$6:$X$205,15,FALSE),"")</f>
        <v/>
      </c>
      <c r="K31" s="102">
        <f>IFERROR(VLOOKUP($B31,'Anomaly Detection'!$A$6:$X$205,18,FALSE),"")</f>
        <v/>
      </c>
      <c r="L31" s="102" t="inlineStr">
        <is>
          <t>Open</t>
        </is>
      </c>
      <c r="M31" s="141">
        <f>IFERROR(VLOOKUP($B31,'Anomaly Detection'!$A$6:$X$205,20,FALSE),"")</f>
        <v/>
      </c>
      <c r="N31" s="141" t="n"/>
      <c r="O31" s="102">
        <f>IF($M31="","",IF(AND($L31&lt;&gt;"Closed",TODAY()&gt;$M31),"Overdue","Not overdue"))</f>
        <v/>
      </c>
      <c r="P31" s="102" t="inlineStr">
        <is>
          <t>Not classified</t>
        </is>
      </c>
      <c r="Q31" s="102" t="n"/>
      <c r="R31" s="102" t="n"/>
      <c r="S31" s="144" t="n"/>
      <c r="T31" s="102" t="n"/>
    </row>
    <row r="32">
      <c r="A32" s="102">
        <f>IF($B32="","","WO-"&amp;TEXT(ROW()-5,"0000"))</f>
        <v/>
      </c>
      <c r="B32" s="102" t="n"/>
      <c r="C32" s="141">
        <f>IFERROR(VLOOKUP($B32,'Anomaly Detection'!$A$6:$X$205,2,FALSE),"")</f>
        <v/>
      </c>
      <c r="D32" s="102">
        <f>IFERROR(VLOOKUP($B32,'Anomaly Detection'!$A$6:$X$205,3,FALSE),"")</f>
        <v/>
      </c>
      <c r="E32" s="102">
        <f>IFERROR(VLOOKUP($B32,'Anomaly Detection'!$A$6:$X$205,4,FALSE),"")</f>
        <v/>
      </c>
      <c r="F32" s="102">
        <f>IFERROR(VLOOKUP($B32,'Anomaly Detection'!$A$6:$X$205,5,FALSE),"")</f>
        <v/>
      </c>
      <c r="G32" s="102">
        <f>IFERROR(VLOOKUP($B32,'Anomaly Detection'!$A$6:$X$205,7,FALSE),"")</f>
        <v/>
      </c>
      <c r="H32" s="102">
        <f>IFERROR(VLOOKUP($B32,'Anomaly Detection'!$A$6:$X$205,8,FALSE),"")</f>
        <v/>
      </c>
      <c r="I32" s="102">
        <f>IFERROR(VLOOKUP($B32,'Anomaly Detection'!$A$6:$X$205,14,FALSE),"")</f>
        <v/>
      </c>
      <c r="J32" s="102">
        <f>IFERROR(VLOOKUP($B32,'Anomaly Detection'!$A$6:$X$205,15,FALSE),"")</f>
        <v/>
      </c>
      <c r="K32" s="102">
        <f>IFERROR(VLOOKUP($B32,'Anomaly Detection'!$A$6:$X$205,18,FALSE),"")</f>
        <v/>
      </c>
      <c r="L32" s="102" t="inlineStr">
        <is>
          <t>Open</t>
        </is>
      </c>
      <c r="M32" s="141">
        <f>IFERROR(VLOOKUP($B32,'Anomaly Detection'!$A$6:$X$205,20,FALSE),"")</f>
        <v/>
      </c>
      <c r="N32" s="141" t="n"/>
      <c r="O32" s="102">
        <f>IF($M32="","",IF(AND($L32&lt;&gt;"Closed",TODAY()&gt;$M32),"Overdue","Not overdue"))</f>
        <v/>
      </c>
      <c r="P32" s="102" t="inlineStr">
        <is>
          <t>Not classified</t>
        </is>
      </c>
      <c r="Q32" s="102" t="n"/>
      <c r="R32" s="102" t="n"/>
      <c r="S32" s="144" t="n"/>
      <c r="T32" s="102" t="n"/>
    </row>
    <row r="33">
      <c r="A33" s="102">
        <f>IF($B33="","","WO-"&amp;TEXT(ROW()-5,"0000"))</f>
        <v/>
      </c>
      <c r="B33" s="102" t="n"/>
      <c r="C33" s="141">
        <f>IFERROR(VLOOKUP($B33,'Anomaly Detection'!$A$6:$X$205,2,FALSE),"")</f>
        <v/>
      </c>
      <c r="D33" s="102">
        <f>IFERROR(VLOOKUP($B33,'Anomaly Detection'!$A$6:$X$205,3,FALSE),"")</f>
        <v/>
      </c>
      <c r="E33" s="102">
        <f>IFERROR(VLOOKUP($B33,'Anomaly Detection'!$A$6:$X$205,4,FALSE),"")</f>
        <v/>
      </c>
      <c r="F33" s="102">
        <f>IFERROR(VLOOKUP($B33,'Anomaly Detection'!$A$6:$X$205,5,FALSE),"")</f>
        <v/>
      </c>
      <c r="G33" s="102">
        <f>IFERROR(VLOOKUP($B33,'Anomaly Detection'!$A$6:$X$205,7,FALSE),"")</f>
        <v/>
      </c>
      <c r="H33" s="102">
        <f>IFERROR(VLOOKUP($B33,'Anomaly Detection'!$A$6:$X$205,8,FALSE),"")</f>
        <v/>
      </c>
      <c r="I33" s="102">
        <f>IFERROR(VLOOKUP($B33,'Anomaly Detection'!$A$6:$X$205,14,FALSE),"")</f>
        <v/>
      </c>
      <c r="J33" s="102">
        <f>IFERROR(VLOOKUP($B33,'Anomaly Detection'!$A$6:$X$205,15,FALSE),"")</f>
        <v/>
      </c>
      <c r="K33" s="102">
        <f>IFERROR(VLOOKUP($B33,'Anomaly Detection'!$A$6:$X$205,18,FALSE),"")</f>
        <v/>
      </c>
      <c r="L33" s="102" t="inlineStr">
        <is>
          <t>Open</t>
        </is>
      </c>
      <c r="M33" s="141">
        <f>IFERROR(VLOOKUP($B33,'Anomaly Detection'!$A$6:$X$205,20,FALSE),"")</f>
        <v/>
      </c>
      <c r="N33" s="141" t="n"/>
      <c r="O33" s="102">
        <f>IF($M33="","",IF(AND($L33&lt;&gt;"Closed",TODAY()&gt;$M33),"Overdue","Not overdue"))</f>
        <v/>
      </c>
      <c r="P33" s="102" t="inlineStr">
        <is>
          <t>Not classified</t>
        </is>
      </c>
      <c r="Q33" s="102" t="n"/>
      <c r="R33" s="102" t="n"/>
      <c r="S33" s="144" t="n"/>
      <c r="T33" s="102" t="n"/>
    </row>
    <row r="34">
      <c r="A34" s="102">
        <f>IF($B34="","","WO-"&amp;TEXT(ROW()-5,"0000"))</f>
        <v/>
      </c>
      <c r="B34" s="102" t="n"/>
      <c r="C34" s="141">
        <f>IFERROR(VLOOKUP($B34,'Anomaly Detection'!$A$6:$X$205,2,FALSE),"")</f>
        <v/>
      </c>
      <c r="D34" s="102">
        <f>IFERROR(VLOOKUP($B34,'Anomaly Detection'!$A$6:$X$205,3,FALSE),"")</f>
        <v/>
      </c>
      <c r="E34" s="102">
        <f>IFERROR(VLOOKUP($B34,'Anomaly Detection'!$A$6:$X$205,4,FALSE),"")</f>
        <v/>
      </c>
      <c r="F34" s="102">
        <f>IFERROR(VLOOKUP($B34,'Anomaly Detection'!$A$6:$X$205,5,FALSE),"")</f>
        <v/>
      </c>
      <c r="G34" s="102">
        <f>IFERROR(VLOOKUP($B34,'Anomaly Detection'!$A$6:$X$205,7,FALSE),"")</f>
        <v/>
      </c>
      <c r="H34" s="102">
        <f>IFERROR(VLOOKUP($B34,'Anomaly Detection'!$A$6:$X$205,8,FALSE),"")</f>
        <v/>
      </c>
      <c r="I34" s="102">
        <f>IFERROR(VLOOKUP($B34,'Anomaly Detection'!$A$6:$X$205,14,FALSE),"")</f>
        <v/>
      </c>
      <c r="J34" s="102">
        <f>IFERROR(VLOOKUP($B34,'Anomaly Detection'!$A$6:$X$205,15,FALSE),"")</f>
        <v/>
      </c>
      <c r="K34" s="102">
        <f>IFERROR(VLOOKUP($B34,'Anomaly Detection'!$A$6:$X$205,18,FALSE),"")</f>
        <v/>
      </c>
      <c r="L34" s="102" t="inlineStr">
        <is>
          <t>Open</t>
        </is>
      </c>
      <c r="M34" s="141">
        <f>IFERROR(VLOOKUP($B34,'Anomaly Detection'!$A$6:$X$205,20,FALSE),"")</f>
        <v/>
      </c>
      <c r="N34" s="141" t="n"/>
      <c r="O34" s="102">
        <f>IF($M34="","",IF(AND($L34&lt;&gt;"Closed",TODAY()&gt;$M34),"Overdue","Not overdue"))</f>
        <v/>
      </c>
      <c r="P34" s="102" t="inlineStr">
        <is>
          <t>Not classified</t>
        </is>
      </c>
      <c r="Q34" s="102" t="n"/>
      <c r="R34" s="102" t="n"/>
      <c r="S34" s="144" t="n"/>
      <c r="T34" s="102" t="n"/>
    </row>
    <row r="35">
      <c r="A35" s="102">
        <f>IF($B35="","","WO-"&amp;TEXT(ROW()-5,"0000"))</f>
        <v/>
      </c>
      <c r="B35" s="102" t="n"/>
      <c r="C35" s="141">
        <f>IFERROR(VLOOKUP($B35,'Anomaly Detection'!$A$6:$X$205,2,FALSE),"")</f>
        <v/>
      </c>
      <c r="D35" s="102">
        <f>IFERROR(VLOOKUP($B35,'Anomaly Detection'!$A$6:$X$205,3,FALSE),"")</f>
        <v/>
      </c>
      <c r="E35" s="102">
        <f>IFERROR(VLOOKUP($B35,'Anomaly Detection'!$A$6:$X$205,4,FALSE),"")</f>
        <v/>
      </c>
      <c r="F35" s="102">
        <f>IFERROR(VLOOKUP($B35,'Anomaly Detection'!$A$6:$X$205,5,FALSE),"")</f>
        <v/>
      </c>
      <c r="G35" s="102">
        <f>IFERROR(VLOOKUP($B35,'Anomaly Detection'!$A$6:$X$205,7,FALSE),"")</f>
        <v/>
      </c>
      <c r="H35" s="102">
        <f>IFERROR(VLOOKUP($B35,'Anomaly Detection'!$A$6:$X$205,8,FALSE),"")</f>
        <v/>
      </c>
      <c r="I35" s="102">
        <f>IFERROR(VLOOKUP($B35,'Anomaly Detection'!$A$6:$X$205,14,FALSE),"")</f>
        <v/>
      </c>
      <c r="J35" s="102">
        <f>IFERROR(VLOOKUP($B35,'Anomaly Detection'!$A$6:$X$205,15,FALSE),"")</f>
        <v/>
      </c>
      <c r="K35" s="102">
        <f>IFERROR(VLOOKUP($B35,'Anomaly Detection'!$A$6:$X$205,18,FALSE),"")</f>
        <v/>
      </c>
      <c r="L35" s="102" t="inlineStr">
        <is>
          <t>Open</t>
        </is>
      </c>
      <c r="M35" s="141">
        <f>IFERROR(VLOOKUP($B35,'Anomaly Detection'!$A$6:$X$205,20,FALSE),"")</f>
        <v/>
      </c>
      <c r="N35" s="141" t="n"/>
      <c r="O35" s="102">
        <f>IF($M35="","",IF(AND($L35&lt;&gt;"Closed",TODAY()&gt;$M35),"Overdue","Not overdue"))</f>
        <v/>
      </c>
      <c r="P35" s="102" t="inlineStr">
        <is>
          <t>Not classified</t>
        </is>
      </c>
      <c r="Q35" s="102" t="n"/>
      <c r="R35" s="102" t="n"/>
      <c r="S35" s="144" t="n"/>
      <c r="T35" s="102" t="n"/>
    </row>
    <row r="36">
      <c r="A36" s="102">
        <f>IF($B36="","","WO-"&amp;TEXT(ROW()-5,"0000"))</f>
        <v/>
      </c>
      <c r="B36" s="102" t="n"/>
      <c r="C36" s="141">
        <f>IFERROR(VLOOKUP($B36,'Anomaly Detection'!$A$6:$X$205,2,FALSE),"")</f>
        <v/>
      </c>
      <c r="D36" s="102">
        <f>IFERROR(VLOOKUP($B36,'Anomaly Detection'!$A$6:$X$205,3,FALSE),"")</f>
        <v/>
      </c>
      <c r="E36" s="102">
        <f>IFERROR(VLOOKUP($B36,'Anomaly Detection'!$A$6:$X$205,4,FALSE),"")</f>
        <v/>
      </c>
      <c r="F36" s="102">
        <f>IFERROR(VLOOKUP($B36,'Anomaly Detection'!$A$6:$X$205,5,FALSE),"")</f>
        <v/>
      </c>
      <c r="G36" s="102">
        <f>IFERROR(VLOOKUP($B36,'Anomaly Detection'!$A$6:$X$205,7,FALSE),"")</f>
        <v/>
      </c>
      <c r="H36" s="102">
        <f>IFERROR(VLOOKUP($B36,'Anomaly Detection'!$A$6:$X$205,8,FALSE),"")</f>
        <v/>
      </c>
      <c r="I36" s="102">
        <f>IFERROR(VLOOKUP($B36,'Anomaly Detection'!$A$6:$X$205,14,FALSE),"")</f>
        <v/>
      </c>
      <c r="J36" s="102">
        <f>IFERROR(VLOOKUP($B36,'Anomaly Detection'!$A$6:$X$205,15,FALSE),"")</f>
        <v/>
      </c>
      <c r="K36" s="102">
        <f>IFERROR(VLOOKUP($B36,'Anomaly Detection'!$A$6:$X$205,18,FALSE),"")</f>
        <v/>
      </c>
      <c r="L36" s="102" t="inlineStr">
        <is>
          <t>Open</t>
        </is>
      </c>
      <c r="M36" s="141">
        <f>IFERROR(VLOOKUP($B36,'Anomaly Detection'!$A$6:$X$205,20,FALSE),"")</f>
        <v/>
      </c>
      <c r="N36" s="141" t="n"/>
      <c r="O36" s="102">
        <f>IF($M36="","",IF(AND($L36&lt;&gt;"Closed",TODAY()&gt;$M36),"Overdue","Not overdue"))</f>
        <v/>
      </c>
      <c r="P36" s="102" t="inlineStr">
        <is>
          <t>Not classified</t>
        </is>
      </c>
      <c r="Q36" s="102" t="n"/>
      <c r="R36" s="102" t="n"/>
      <c r="S36" s="144" t="n"/>
      <c r="T36" s="102" t="n"/>
    </row>
    <row r="37">
      <c r="A37" s="102">
        <f>IF($B37="","","WO-"&amp;TEXT(ROW()-5,"0000"))</f>
        <v/>
      </c>
      <c r="B37" s="102" t="n"/>
      <c r="C37" s="141">
        <f>IFERROR(VLOOKUP($B37,'Anomaly Detection'!$A$6:$X$205,2,FALSE),"")</f>
        <v/>
      </c>
      <c r="D37" s="102">
        <f>IFERROR(VLOOKUP($B37,'Anomaly Detection'!$A$6:$X$205,3,FALSE),"")</f>
        <v/>
      </c>
      <c r="E37" s="102">
        <f>IFERROR(VLOOKUP($B37,'Anomaly Detection'!$A$6:$X$205,4,FALSE),"")</f>
        <v/>
      </c>
      <c r="F37" s="102">
        <f>IFERROR(VLOOKUP($B37,'Anomaly Detection'!$A$6:$X$205,5,FALSE),"")</f>
        <v/>
      </c>
      <c r="G37" s="102">
        <f>IFERROR(VLOOKUP($B37,'Anomaly Detection'!$A$6:$X$205,7,FALSE),"")</f>
        <v/>
      </c>
      <c r="H37" s="102">
        <f>IFERROR(VLOOKUP($B37,'Anomaly Detection'!$A$6:$X$205,8,FALSE),"")</f>
        <v/>
      </c>
      <c r="I37" s="102">
        <f>IFERROR(VLOOKUP($B37,'Anomaly Detection'!$A$6:$X$205,14,FALSE),"")</f>
        <v/>
      </c>
      <c r="J37" s="102">
        <f>IFERROR(VLOOKUP($B37,'Anomaly Detection'!$A$6:$X$205,15,FALSE),"")</f>
        <v/>
      </c>
      <c r="K37" s="102">
        <f>IFERROR(VLOOKUP($B37,'Anomaly Detection'!$A$6:$X$205,18,FALSE),"")</f>
        <v/>
      </c>
      <c r="L37" s="102" t="inlineStr">
        <is>
          <t>Open</t>
        </is>
      </c>
      <c r="M37" s="141">
        <f>IFERROR(VLOOKUP($B37,'Anomaly Detection'!$A$6:$X$205,20,FALSE),"")</f>
        <v/>
      </c>
      <c r="N37" s="141" t="n"/>
      <c r="O37" s="102">
        <f>IF($M37="","",IF(AND($L37&lt;&gt;"Closed",TODAY()&gt;$M37),"Overdue","Not overdue"))</f>
        <v/>
      </c>
      <c r="P37" s="102" t="inlineStr">
        <is>
          <t>Not classified</t>
        </is>
      </c>
      <c r="Q37" s="102" t="n"/>
      <c r="R37" s="102" t="n"/>
      <c r="S37" s="144" t="n"/>
      <c r="T37" s="102" t="n"/>
    </row>
    <row r="38">
      <c r="A38" s="102">
        <f>IF($B38="","","WO-"&amp;TEXT(ROW()-5,"0000"))</f>
        <v/>
      </c>
      <c r="B38" s="102" t="n"/>
      <c r="C38" s="141">
        <f>IFERROR(VLOOKUP($B38,'Anomaly Detection'!$A$6:$X$205,2,FALSE),"")</f>
        <v/>
      </c>
      <c r="D38" s="102">
        <f>IFERROR(VLOOKUP($B38,'Anomaly Detection'!$A$6:$X$205,3,FALSE),"")</f>
        <v/>
      </c>
      <c r="E38" s="102">
        <f>IFERROR(VLOOKUP($B38,'Anomaly Detection'!$A$6:$X$205,4,FALSE),"")</f>
        <v/>
      </c>
      <c r="F38" s="102">
        <f>IFERROR(VLOOKUP($B38,'Anomaly Detection'!$A$6:$X$205,5,FALSE),"")</f>
        <v/>
      </c>
      <c r="G38" s="102">
        <f>IFERROR(VLOOKUP($B38,'Anomaly Detection'!$A$6:$X$205,7,FALSE),"")</f>
        <v/>
      </c>
      <c r="H38" s="102">
        <f>IFERROR(VLOOKUP($B38,'Anomaly Detection'!$A$6:$X$205,8,FALSE),"")</f>
        <v/>
      </c>
      <c r="I38" s="102">
        <f>IFERROR(VLOOKUP($B38,'Anomaly Detection'!$A$6:$X$205,14,FALSE),"")</f>
        <v/>
      </c>
      <c r="J38" s="102">
        <f>IFERROR(VLOOKUP($B38,'Anomaly Detection'!$A$6:$X$205,15,FALSE),"")</f>
        <v/>
      </c>
      <c r="K38" s="102">
        <f>IFERROR(VLOOKUP($B38,'Anomaly Detection'!$A$6:$X$205,18,FALSE),"")</f>
        <v/>
      </c>
      <c r="L38" s="102" t="inlineStr">
        <is>
          <t>Open</t>
        </is>
      </c>
      <c r="M38" s="141">
        <f>IFERROR(VLOOKUP($B38,'Anomaly Detection'!$A$6:$X$205,20,FALSE),"")</f>
        <v/>
      </c>
      <c r="N38" s="141" t="n"/>
      <c r="O38" s="102">
        <f>IF($M38="","",IF(AND($L38&lt;&gt;"Closed",TODAY()&gt;$M38),"Overdue","Not overdue"))</f>
        <v/>
      </c>
      <c r="P38" s="102" t="inlineStr">
        <is>
          <t>Not classified</t>
        </is>
      </c>
      <c r="Q38" s="102" t="n"/>
      <c r="R38" s="102" t="n"/>
      <c r="S38" s="144" t="n"/>
      <c r="T38" s="102" t="n"/>
    </row>
    <row r="39">
      <c r="A39" s="102">
        <f>IF($B39="","","WO-"&amp;TEXT(ROW()-5,"0000"))</f>
        <v/>
      </c>
      <c r="B39" s="102" t="n"/>
      <c r="C39" s="141">
        <f>IFERROR(VLOOKUP($B39,'Anomaly Detection'!$A$6:$X$205,2,FALSE),"")</f>
        <v/>
      </c>
      <c r="D39" s="102">
        <f>IFERROR(VLOOKUP($B39,'Anomaly Detection'!$A$6:$X$205,3,FALSE),"")</f>
        <v/>
      </c>
      <c r="E39" s="102">
        <f>IFERROR(VLOOKUP($B39,'Anomaly Detection'!$A$6:$X$205,4,FALSE),"")</f>
        <v/>
      </c>
      <c r="F39" s="102">
        <f>IFERROR(VLOOKUP($B39,'Anomaly Detection'!$A$6:$X$205,5,FALSE),"")</f>
        <v/>
      </c>
      <c r="G39" s="102">
        <f>IFERROR(VLOOKUP($B39,'Anomaly Detection'!$A$6:$X$205,7,FALSE),"")</f>
        <v/>
      </c>
      <c r="H39" s="102">
        <f>IFERROR(VLOOKUP($B39,'Anomaly Detection'!$A$6:$X$205,8,FALSE),"")</f>
        <v/>
      </c>
      <c r="I39" s="102">
        <f>IFERROR(VLOOKUP($B39,'Anomaly Detection'!$A$6:$X$205,14,FALSE),"")</f>
        <v/>
      </c>
      <c r="J39" s="102">
        <f>IFERROR(VLOOKUP($B39,'Anomaly Detection'!$A$6:$X$205,15,FALSE),"")</f>
        <v/>
      </c>
      <c r="K39" s="102">
        <f>IFERROR(VLOOKUP($B39,'Anomaly Detection'!$A$6:$X$205,18,FALSE),"")</f>
        <v/>
      </c>
      <c r="L39" s="102" t="inlineStr">
        <is>
          <t>Open</t>
        </is>
      </c>
      <c r="M39" s="141">
        <f>IFERROR(VLOOKUP($B39,'Anomaly Detection'!$A$6:$X$205,20,FALSE),"")</f>
        <v/>
      </c>
      <c r="N39" s="141" t="n"/>
      <c r="O39" s="102">
        <f>IF($M39="","",IF(AND($L39&lt;&gt;"Closed",TODAY()&gt;$M39),"Overdue","Not overdue"))</f>
        <v/>
      </c>
      <c r="P39" s="102" t="inlineStr">
        <is>
          <t>Not classified</t>
        </is>
      </c>
      <c r="Q39" s="102" t="n"/>
      <c r="R39" s="102" t="n"/>
      <c r="S39" s="144" t="n"/>
      <c r="T39" s="102" t="n"/>
    </row>
    <row r="40">
      <c r="A40" s="102">
        <f>IF($B40="","","WO-"&amp;TEXT(ROW()-5,"0000"))</f>
        <v/>
      </c>
      <c r="B40" s="102" t="n"/>
      <c r="C40" s="141">
        <f>IFERROR(VLOOKUP($B40,'Anomaly Detection'!$A$6:$X$205,2,FALSE),"")</f>
        <v/>
      </c>
      <c r="D40" s="102">
        <f>IFERROR(VLOOKUP($B40,'Anomaly Detection'!$A$6:$X$205,3,FALSE),"")</f>
        <v/>
      </c>
      <c r="E40" s="102">
        <f>IFERROR(VLOOKUP($B40,'Anomaly Detection'!$A$6:$X$205,4,FALSE),"")</f>
        <v/>
      </c>
      <c r="F40" s="102">
        <f>IFERROR(VLOOKUP($B40,'Anomaly Detection'!$A$6:$X$205,5,FALSE),"")</f>
        <v/>
      </c>
      <c r="G40" s="102">
        <f>IFERROR(VLOOKUP($B40,'Anomaly Detection'!$A$6:$X$205,7,FALSE),"")</f>
        <v/>
      </c>
      <c r="H40" s="102">
        <f>IFERROR(VLOOKUP($B40,'Anomaly Detection'!$A$6:$X$205,8,FALSE),"")</f>
        <v/>
      </c>
      <c r="I40" s="102">
        <f>IFERROR(VLOOKUP($B40,'Anomaly Detection'!$A$6:$X$205,14,FALSE),"")</f>
        <v/>
      </c>
      <c r="J40" s="102">
        <f>IFERROR(VLOOKUP($B40,'Anomaly Detection'!$A$6:$X$205,15,FALSE),"")</f>
        <v/>
      </c>
      <c r="K40" s="102">
        <f>IFERROR(VLOOKUP($B40,'Anomaly Detection'!$A$6:$X$205,18,FALSE),"")</f>
        <v/>
      </c>
      <c r="L40" s="102" t="inlineStr">
        <is>
          <t>Open</t>
        </is>
      </c>
      <c r="M40" s="141">
        <f>IFERROR(VLOOKUP($B40,'Anomaly Detection'!$A$6:$X$205,20,FALSE),"")</f>
        <v/>
      </c>
      <c r="N40" s="141" t="n"/>
      <c r="O40" s="102">
        <f>IF($M40="","",IF(AND($L40&lt;&gt;"Closed",TODAY()&gt;$M40),"Overdue","Not overdue"))</f>
        <v/>
      </c>
      <c r="P40" s="102" t="inlineStr">
        <is>
          <t>Not classified</t>
        </is>
      </c>
      <c r="Q40" s="102" t="n"/>
      <c r="R40" s="102" t="n"/>
      <c r="S40" s="144" t="n"/>
      <c r="T40" s="102" t="n"/>
    </row>
    <row r="41">
      <c r="A41" s="102">
        <f>IF($B41="","","WO-"&amp;TEXT(ROW()-5,"0000"))</f>
        <v/>
      </c>
      <c r="B41" s="102" t="n"/>
      <c r="C41" s="141">
        <f>IFERROR(VLOOKUP($B41,'Anomaly Detection'!$A$6:$X$205,2,FALSE),"")</f>
        <v/>
      </c>
      <c r="D41" s="102">
        <f>IFERROR(VLOOKUP($B41,'Anomaly Detection'!$A$6:$X$205,3,FALSE),"")</f>
        <v/>
      </c>
      <c r="E41" s="102">
        <f>IFERROR(VLOOKUP($B41,'Anomaly Detection'!$A$6:$X$205,4,FALSE),"")</f>
        <v/>
      </c>
      <c r="F41" s="102">
        <f>IFERROR(VLOOKUP($B41,'Anomaly Detection'!$A$6:$X$205,5,FALSE),"")</f>
        <v/>
      </c>
      <c r="G41" s="102">
        <f>IFERROR(VLOOKUP($B41,'Anomaly Detection'!$A$6:$X$205,7,FALSE),"")</f>
        <v/>
      </c>
      <c r="H41" s="102">
        <f>IFERROR(VLOOKUP($B41,'Anomaly Detection'!$A$6:$X$205,8,FALSE),"")</f>
        <v/>
      </c>
      <c r="I41" s="102">
        <f>IFERROR(VLOOKUP($B41,'Anomaly Detection'!$A$6:$X$205,14,FALSE),"")</f>
        <v/>
      </c>
      <c r="J41" s="102">
        <f>IFERROR(VLOOKUP($B41,'Anomaly Detection'!$A$6:$X$205,15,FALSE),"")</f>
        <v/>
      </c>
      <c r="K41" s="102">
        <f>IFERROR(VLOOKUP($B41,'Anomaly Detection'!$A$6:$X$205,18,FALSE),"")</f>
        <v/>
      </c>
      <c r="L41" s="102" t="inlineStr">
        <is>
          <t>Open</t>
        </is>
      </c>
      <c r="M41" s="141">
        <f>IFERROR(VLOOKUP($B41,'Anomaly Detection'!$A$6:$X$205,20,FALSE),"")</f>
        <v/>
      </c>
      <c r="N41" s="141" t="n"/>
      <c r="O41" s="102">
        <f>IF($M41="","",IF(AND($L41&lt;&gt;"Closed",TODAY()&gt;$M41),"Overdue","Not overdue"))</f>
        <v/>
      </c>
      <c r="P41" s="102" t="inlineStr">
        <is>
          <t>Not classified</t>
        </is>
      </c>
      <c r="Q41" s="102" t="n"/>
      <c r="R41" s="102" t="n"/>
      <c r="S41" s="144" t="n"/>
      <c r="T41" s="102" t="n"/>
    </row>
    <row r="42">
      <c r="A42" s="102">
        <f>IF($B42="","","WO-"&amp;TEXT(ROW()-5,"0000"))</f>
        <v/>
      </c>
      <c r="B42" s="102" t="n"/>
      <c r="C42" s="141">
        <f>IFERROR(VLOOKUP($B42,'Anomaly Detection'!$A$6:$X$205,2,FALSE),"")</f>
        <v/>
      </c>
      <c r="D42" s="102">
        <f>IFERROR(VLOOKUP($B42,'Anomaly Detection'!$A$6:$X$205,3,FALSE),"")</f>
        <v/>
      </c>
      <c r="E42" s="102">
        <f>IFERROR(VLOOKUP($B42,'Anomaly Detection'!$A$6:$X$205,4,FALSE),"")</f>
        <v/>
      </c>
      <c r="F42" s="102">
        <f>IFERROR(VLOOKUP($B42,'Anomaly Detection'!$A$6:$X$205,5,FALSE),"")</f>
        <v/>
      </c>
      <c r="G42" s="102">
        <f>IFERROR(VLOOKUP($B42,'Anomaly Detection'!$A$6:$X$205,7,FALSE),"")</f>
        <v/>
      </c>
      <c r="H42" s="102">
        <f>IFERROR(VLOOKUP($B42,'Anomaly Detection'!$A$6:$X$205,8,FALSE),"")</f>
        <v/>
      </c>
      <c r="I42" s="102">
        <f>IFERROR(VLOOKUP($B42,'Anomaly Detection'!$A$6:$X$205,14,FALSE),"")</f>
        <v/>
      </c>
      <c r="J42" s="102">
        <f>IFERROR(VLOOKUP($B42,'Anomaly Detection'!$A$6:$X$205,15,FALSE),"")</f>
        <v/>
      </c>
      <c r="K42" s="102">
        <f>IFERROR(VLOOKUP($B42,'Anomaly Detection'!$A$6:$X$205,18,FALSE),"")</f>
        <v/>
      </c>
      <c r="L42" s="102" t="inlineStr">
        <is>
          <t>Open</t>
        </is>
      </c>
      <c r="M42" s="141">
        <f>IFERROR(VLOOKUP($B42,'Anomaly Detection'!$A$6:$X$205,20,FALSE),"")</f>
        <v/>
      </c>
      <c r="N42" s="141" t="n"/>
      <c r="O42" s="102">
        <f>IF($M42="","",IF(AND($L42&lt;&gt;"Closed",TODAY()&gt;$M42),"Overdue","Not overdue"))</f>
        <v/>
      </c>
      <c r="P42" s="102" t="inlineStr">
        <is>
          <t>Not classified</t>
        </is>
      </c>
      <c r="Q42" s="102" t="n"/>
      <c r="R42" s="102" t="n"/>
      <c r="S42" s="144" t="n"/>
      <c r="T42" s="102" t="n"/>
    </row>
    <row r="43">
      <c r="A43" s="102">
        <f>IF($B43="","","WO-"&amp;TEXT(ROW()-5,"0000"))</f>
        <v/>
      </c>
      <c r="B43" s="102" t="n"/>
      <c r="C43" s="141">
        <f>IFERROR(VLOOKUP($B43,'Anomaly Detection'!$A$6:$X$205,2,FALSE),"")</f>
        <v/>
      </c>
      <c r="D43" s="102">
        <f>IFERROR(VLOOKUP($B43,'Anomaly Detection'!$A$6:$X$205,3,FALSE),"")</f>
        <v/>
      </c>
      <c r="E43" s="102">
        <f>IFERROR(VLOOKUP($B43,'Anomaly Detection'!$A$6:$X$205,4,FALSE),"")</f>
        <v/>
      </c>
      <c r="F43" s="102">
        <f>IFERROR(VLOOKUP($B43,'Anomaly Detection'!$A$6:$X$205,5,FALSE),"")</f>
        <v/>
      </c>
      <c r="G43" s="102">
        <f>IFERROR(VLOOKUP($B43,'Anomaly Detection'!$A$6:$X$205,7,FALSE),"")</f>
        <v/>
      </c>
      <c r="H43" s="102">
        <f>IFERROR(VLOOKUP($B43,'Anomaly Detection'!$A$6:$X$205,8,FALSE),"")</f>
        <v/>
      </c>
      <c r="I43" s="102">
        <f>IFERROR(VLOOKUP($B43,'Anomaly Detection'!$A$6:$X$205,14,FALSE),"")</f>
        <v/>
      </c>
      <c r="J43" s="102">
        <f>IFERROR(VLOOKUP($B43,'Anomaly Detection'!$A$6:$X$205,15,FALSE),"")</f>
        <v/>
      </c>
      <c r="K43" s="102">
        <f>IFERROR(VLOOKUP($B43,'Anomaly Detection'!$A$6:$X$205,18,FALSE),"")</f>
        <v/>
      </c>
      <c r="L43" s="102" t="inlineStr">
        <is>
          <t>Open</t>
        </is>
      </c>
      <c r="M43" s="141">
        <f>IFERROR(VLOOKUP($B43,'Anomaly Detection'!$A$6:$X$205,20,FALSE),"")</f>
        <v/>
      </c>
      <c r="N43" s="141" t="n"/>
      <c r="O43" s="102">
        <f>IF($M43="","",IF(AND($L43&lt;&gt;"Closed",TODAY()&gt;$M43),"Overdue","Not overdue"))</f>
        <v/>
      </c>
      <c r="P43" s="102" t="inlineStr">
        <is>
          <t>Not classified</t>
        </is>
      </c>
      <c r="Q43" s="102" t="n"/>
      <c r="R43" s="102" t="n"/>
      <c r="S43" s="144" t="n"/>
      <c r="T43" s="102" t="n"/>
    </row>
    <row r="44">
      <c r="A44" s="102">
        <f>IF($B44="","","WO-"&amp;TEXT(ROW()-5,"0000"))</f>
        <v/>
      </c>
      <c r="B44" s="102" t="n"/>
      <c r="C44" s="141">
        <f>IFERROR(VLOOKUP($B44,'Anomaly Detection'!$A$6:$X$205,2,FALSE),"")</f>
        <v/>
      </c>
      <c r="D44" s="102">
        <f>IFERROR(VLOOKUP($B44,'Anomaly Detection'!$A$6:$X$205,3,FALSE),"")</f>
        <v/>
      </c>
      <c r="E44" s="102">
        <f>IFERROR(VLOOKUP($B44,'Anomaly Detection'!$A$6:$X$205,4,FALSE),"")</f>
        <v/>
      </c>
      <c r="F44" s="102">
        <f>IFERROR(VLOOKUP($B44,'Anomaly Detection'!$A$6:$X$205,5,FALSE),"")</f>
        <v/>
      </c>
      <c r="G44" s="102">
        <f>IFERROR(VLOOKUP($B44,'Anomaly Detection'!$A$6:$X$205,7,FALSE),"")</f>
        <v/>
      </c>
      <c r="H44" s="102">
        <f>IFERROR(VLOOKUP($B44,'Anomaly Detection'!$A$6:$X$205,8,FALSE),"")</f>
        <v/>
      </c>
      <c r="I44" s="102">
        <f>IFERROR(VLOOKUP($B44,'Anomaly Detection'!$A$6:$X$205,14,FALSE),"")</f>
        <v/>
      </c>
      <c r="J44" s="102">
        <f>IFERROR(VLOOKUP($B44,'Anomaly Detection'!$A$6:$X$205,15,FALSE),"")</f>
        <v/>
      </c>
      <c r="K44" s="102">
        <f>IFERROR(VLOOKUP($B44,'Anomaly Detection'!$A$6:$X$205,18,FALSE),"")</f>
        <v/>
      </c>
      <c r="L44" s="102" t="inlineStr">
        <is>
          <t>Open</t>
        </is>
      </c>
      <c r="M44" s="141">
        <f>IFERROR(VLOOKUP($B44,'Anomaly Detection'!$A$6:$X$205,20,FALSE),"")</f>
        <v/>
      </c>
      <c r="N44" s="141" t="n"/>
      <c r="O44" s="102">
        <f>IF($M44="","",IF(AND($L44&lt;&gt;"Closed",TODAY()&gt;$M44),"Overdue","Not overdue"))</f>
        <v/>
      </c>
      <c r="P44" s="102" t="inlineStr">
        <is>
          <t>Not classified</t>
        </is>
      </c>
      <c r="Q44" s="102" t="n"/>
      <c r="R44" s="102" t="n"/>
      <c r="S44" s="144" t="n"/>
      <c r="T44" s="102" t="n"/>
    </row>
    <row r="45">
      <c r="A45" s="102">
        <f>IF($B45="","","WO-"&amp;TEXT(ROW()-5,"0000"))</f>
        <v/>
      </c>
      <c r="B45" s="102" t="n"/>
      <c r="C45" s="141">
        <f>IFERROR(VLOOKUP($B45,'Anomaly Detection'!$A$6:$X$205,2,FALSE),"")</f>
        <v/>
      </c>
      <c r="D45" s="102">
        <f>IFERROR(VLOOKUP($B45,'Anomaly Detection'!$A$6:$X$205,3,FALSE),"")</f>
        <v/>
      </c>
      <c r="E45" s="102">
        <f>IFERROR(VLOOKUP($B45,'Anomaly Detection'!$A$6:$X$205,4,FALSE),"")</f>
        <v/>
      </c>
      <c r="F45" s="102">
        <f>IFERROR(VLOOKUP($B45,'Anomaly Detection'!$A$6:$X$205,5,FALSE),"")</f>
        <v/>
      </c>
      <c r="G45" s="102">
        <f>IFERROR(VLOOKUP($B45,'Anomaly Detection'!$A$6:$X$205,7,FALSE),"")</f>
        <v/>
      </c>
      <c r="H45" s="102">
        <f>IFERROR(VLOOKUP($B45,'Anomaly Detection'!$A$6:$X$205,8,FALSE),"")</f>
        <v/>
      </c>
      <c r="I45" s="102">
        <f>IFERROR(VLOOKUP($B45,'Anomaly Detection'!$A$6:$X$205,14,FALSE),"")</f>
        <v/>
      </c>
      <c r="J45" s="102">
        <f>IFERROR(VLOOKUP($B45,'Anomaly Detection'!$A$6:$X$205,15,FALSE),"")</f>
        <v/>
      </c>
      <c r="K45" s="102">
        <f>IFERROR(VLOOKUP($B45,'Anomaly Detection'!$A$6:$X$205,18,FALSE),"")</f>
        <v/>
      </c>
      <c r="L45" s="102" t="inlineStr">
        <is>
          <t>Open</t>
        </is>
      </c>
      <c r="M45" s="141">
        <f>IFERROR(VLOOKUP($B45,'Anomaly Detection'!$A$6:$X$205,20,FALSE),"")</f>
        <v/>
      </c>
      <c r="N45" s="141" t="n"/>
      <c r="O45" s="102">
        <f>IF($M45="","",IF(AND($L45&lt;&gt;"Closed",TODAY()&gt;$M45),"Overdue","Not overdue"))</f>
        <v/>
      </c>
      <c r="P45" s="102" t="inlineStr">
        <is>
          <t>Not classified</t>
        </is>
      </c>
      <c r="Q45" s="102" t="n"/>
      <c r="R45" s="102" t="n"/>
      <c r="S45" s="144" t="n"/>
      <c r="T45" s="102" t="n"/>
    </row>
    <row r="46">
      <c r="A46" s="102">
        <f>IF($B46="","","WO-"&amp;TEXT(ROW()-5,"0000"))</f>
        <v/>
      </c>
      <c r="B46" s="102" t="n"/>
      <c r="C46" s="141">
        <f>IFERROR(VLOOKUP($B46,'Anomaly Detection'!$A$6:$X$205,2,FALSE),"")</f>
        <v/>
      </c>
      <c r="D46" s="102">
        <f>IFERROR(VLOOKUP($B46,'Anomaly Detection'!$A$6:$X$205,3,FALSE),"")</f>
        <v/>
      </c>
      <c r="E46" s="102">
        <f>IFERROR(VLOOKUP($B46,'Anomaly Detection'!$A$6:$X$205,4,FALSE),"")</f>
        <v/>
      </c>
      <c r="F46" s="102">
        <f>IFERROR(VLOOKUP($B46,'Anomaly Detection'!$A$6:$X$205,5,FALSE),"")</f>
        <v/>
      </c>
      <c r="G46" s="102">
        <f>IFERROR(VLOOKUP($B46,'Anomaly Detection'!$A$6:$X$205,7,FALSE),"")</f>
        <v/>
      </c>
      <c r="H46" s="102">
        <f>IFERROR(VLOOKUP($B46,'Anomaly Detection'!$A$6:$X$205,8,FALSE),"")</f>
        <v/>
      </c>
      <c r="I46" s="102">
        <f>IFERROR(VLOOKUP($B46,'Anomaly Detection'!$A$6:$X$205,14,FALSE),"")</f>
        <v/>
      </c>
      <c r="J46" s="102">
        <f>IFERROR(VLOOKUP($B46,'Anomaly Detection'!$A$6:$X$205,15,FALSE),"")</f>
        <v/>
      </c>
      <c r="K46" s="102">
        <f>IFERROR(VLOOKUP($B46,'Anomaly Detection'!$A$6:$X$205,18,FALSE),"")</f>
        <v/>
      </c>
      <c r="L46" s="102" t="inlineStr">
        <is>
          <t>Open</t>
        </is>
      </c>
      <c r="M46" s="141">
        <f>IFERROR(VLOOKUP($B46,'Anomaly Detection'!$A$6:$X$205,20,FALSE),"")</f>
        <v/>
      </c>
      <c r="N46" s="141" t="n"/>
      <c r="O46" s="102">
        <f>IF($M46="","",IF(AND($L46&lt;&gt;"Closed",TODAY()&gt;$M46),"Overdue","Not overdue"))</f>
        <v/>
      </c>
      <c r="P46" s="102" t="inlineStr">
        <is>
          <t>Not classified</t>
        </is>
      </c>
      <c r="Q46" s="102" t="n"/>
      <c r="R46" s="102" t="n"/>
      <c r="S46" s="144" t="n"/>
      <c r="T46" s="102" t="n"/>
    </row>
    <row r="47">
      <c r="A47" s="102">
        <f>IF($B47="","","WO-"&amp;TEXT(ROW()-5,"0000"))</f>
        <v/>
      </c>
      <c r="B47" s="102" t="n"/>
      <c r="C47" s="141">
        <f>IFERROR(VLOOKUP($B47,'Anomaly Detection'!$A$6:$X$205,2,FALSE),"")</f>
        <v/>
      </c>
      <c r="D47" s="102">
        <f>IFERROR(VLOOKUP($B47,'Anomaly Detection'!$A$6:$X$205,3,FALSE),"")</f>
        <v/>
      </c>
      <c r="E47" s="102">
        <f>IFERROR(VLOOKUP($B47,'Anomaly Detection'!$A$6:$X$205,4,FALSE),"")</f>
        <v/>
      </c>
      <c r="F47" s="102">
        <f>IFERROR(VLOOKUP($B47,'Anomaly Detection'!$A$6:$X$205,5,FALSE),"")</f>
        <v/>
      </c>
      <c r="G47" s="102">
        <f>IFERROR(VLOOKUP($B47,'Anomaly Detection'!$A$6:$X$205,7,FALSE),"")</f>
        <v/>
      </c>
      <c r="H47" s="102">
        <f>IFERROR(VLOOKUP($B47,'Anomaly Detection'!$A$6:$X$205,8,FALSE),"")</f>
        <v/>
      </c>
      <c r="I47" s="102">
        <f>IFERROR(VLOOKUP($B47,'Anomaly Detection'!$A$6:$X$205,14,FALSE),"")</f>
        <v/>
      </c>
      <c r="J47" s="102">
        <f>IFERROR(VLOOKUP($B47,'Anomaly Detection'!$A$6:$X$205,15,FALSE),"")</f>
        <v/>
      </c>
      <c r="K47" s="102">
        <f>IFERROR(VLOOKUP($B47,'Anomaly Detection'!$A$6:$X$205,18,FALSE),"")</f>
        <v/>
      </c>
      <c r="L47" s="102" t="inlineStr">
        <is>
          <t>Open</t>
        </is>
      </c>
      <c r="M47" s="141">
        <f>IFERROR(VLOOKUP($B47,'Anomaly Detection'!$A$6:$X$205,20,FALSE),"")</f>
        <v/>
      </c>
      <c r="N47" s="141" t="n"/>
      <c r="O47" s="102">
        <f>IF($M47="","",IF(AND($L47&lt;&gt;"Closed",TODAY()&gt;$M47),"Overdue","Not overdue"))</f>
        <v/>
      </c>
      <c r="P47" s="102" t="inlineStr">
        <is>
          <t>Not classified</t>
        </is>
      </c>
      <c r="Q47" s="102" t="n"/>
      <c r="R47" s="102" t="n"/>
      <c r="S47" s="144" t="n"/>
      <c r="T47" s="102" t="n"/>
    </row>
    <row r="48">
      <c r="A48" s="102">
        <f>IF($B48="","","WO-"&amp;TEXT(ROW()-5,"0000"))</f>
        <v/>
      </c>
      <c r="B48" s="102" t="n"/>
      <c r="C48" s="141">
        <f>IFERROR(VLOOKUP($B48,'Anomaly Detection'!$A$6:$X$205,2,FALSE),"")</f>
        <v/>
      </c>
      <c r="D48" s="102">
        <f>IFERROR(VLOOKUP($B48,'Anomaly Detection'!$A$6:$X$205,3,FALSE),"")</f>
        <v/>
      </c>
      <c r="E48" s="102">
        <f>IFERROR(VLOOKUP($B48,'Anomaly Detection'!$A$6:$X$205,4,FALSE),"")</f>
        <v/>
      </c>
      <c r="F48" s="102">
        <f>IFERROR(VLOOKUP($B48,'Anomaly Detection'!$A$6:$X$205,5,FALSE),"")</f>
        <v/>
      </c>
      <c r="G48" s="102">
        <f>IFERROR(VLOOKUP($B48,'Anomaly Detection'!$A$6:$X$205,7,FALSE),"")</f>
        <v/>
      </c>
      <c r="H48" s="102">
        <f>IFERROR(VLOOKUP($B48,'Anomaly Detection'!$A$6:$X$205,8,FALSE),"")</f>
        <v/>
      </c>
      <c r="I48" s="102">
        <f>IFERROR(VLOOKUP($B48,'Anomaly Detection'!$A$6:$X$205,14,FALSE),"")</f>
        <v/>
      </c>
      <c r="J48" s="102">
        <f>IFERROR(VLOOKUP($B48,'Anomaly Detection'!$A$6:$X$205,15,FALSE),"")</f>
        <v/>
      </c>
      <c r="K48" s="102">
        <f>IFERROR(VLOOKUP($B48,'Anomaly Detection'!$A$6:$X$205,18,FALSE),"")</f>
        <v/>
      </c>
      <c r="L48" s="102" t="inlineStr">
        <is>
          <t>Open</t>
        </is>
      </c>
      <c r="M48" s="141">
        <f>IFERROR(VLOOKUP($B48,'Anomaly Detection'!$A$6:$X$205,20,FALSE),"")</f>
        <v/>
      </c>
      <c r="N48" s="141" t="n"/>
      <c r="O48" s="102">
        <f>IF($M48="","",IF(AND($L48&lt;&gt;"Closed",TODAY()&gt;$M48),"Overdue","Not overdue"))</f>
        <v/>
      </c>
      <c r="P48" s="102" t="inlineStr">
        <is>
          <t>Not classified</t>
        </is>
      </c>
      <c r="Q48" s="102" t="n"/>
      <c r="R48" s="102" t="n"/>
      <c r="S48" s="144" t="n"/>
      <c r="T48" s="102" t="n"/>
    </row>
    <row r="49">
      <c r="A49" s="102">
        <f>IF($B49="","","WO-"&amp;TEXT(ROW()-5,"0000"))</f>
        <v/>
      </c>
      <c r="B49" s="102" t="n"/>
      <c r="C49" s="141">
        <f>IFERROR(VLOOKUP($B49,'Anomaly Detection'!$A$6:$X$205,2,FALSE),"")</f>
        <v/>
      </c>
      <c r="D49" s="102">
        <f>IFERROR(VLOOKUP($B49,'Anomaly Detection'!$A$6:$X$205,3,FALSE),"")</f>
        <v/>
      </c>
      <c r="E49" s="102">
        <f>IFERROR(VLOOKUP($B49,'Anomaly Detection'!$A$6:$X$205,4,FALSE),"")</f>
        <v/>
      </c>
      <c r="F49" s="102">
        <f>IFERROR(VLOOKUP($B49,'Anomaly Detection'!$A$6:$X$205,5,FALSE),"")</f>
        <v/>
      </c>
      <c r="G49" s="102">
        <f>IFERROR(VLOOKUP($B49,'Anomaly Detection'!$A$6:$X$205,7,FALSE),"")</f>
        <v/>
      </c>
      <c r="H49" s="102">
        <f>IFERROR(VLOOKUP($B49,'Anomaly Detection'!$A$6:$X$205,8,FALSE),"")</f>
        <v/>
      </c>
      <c r="I49" s="102">
        <f>IFERROR(VLOOKUP($B49,'Anomaly Detection'!$A$6:$X$205,14,FALSE),"")</f>
        <v/>
      </c>
      <c r="J49" s="102">
        <f>IFERROR(VLOOKUP($B49,'Anomaly Detection'!$A$6:$X$205,15,FALSE),"")</f>
        <v/>
      </c>
      <c r="K49" s="102">
        <f>IFERROR(VLOOKUP($B49,'Anomaly Detection'!$A$6:$X$205,18,FALSE),"")</f>
        <v/>
      </c>
      <c r="L49" s="102" t="inlineStr">
        <is>
          <t>Open</t>
        </is>
      </c>
      <c r="M49" s="141">
        <f>IFERROR(VLOOKUP($B49,'Anomaly Detection'!$A$6:$X$205,20,FALSE),"")</f>
        <v/>
      </c>
      <c r="N49" s="141" t="n"/>
      <c r="O49" s="102">
        <f>IF($M49="","",IF(AND($L49&lt;&gt;"Closed",TODAY()&gt;$M49),"Overdue","Not overdue"))</f>
        <v/>
      </c>
      <c r="P49" s="102" t="inlineStr">
        <is>
          <t>Not classified</t>
        </is>
      </c>
      <c r="Q49" s="102" t="n"/>
      <c r="R49" s="102" t="n"/>
      <c r="S49" s="144" t="n"/>
      <c r="T49" s="102" t="n"/>
    </row>
    <row r="50">
      <c r="A50" s="102">
        <f>IF($B50="","","WO-"&amp;TEXT(ROW()-5,"0000"))</f>
        <v/>
      </c>
      <c r="B50" s="102" t="n"/>
      <c r="C50" s="141">
        <f>IFERROR(VLOOKUP($B50,'Anomaly Detection'!$A$6:$X$205,2,FALSE),"")</f>
        <v/>
      </c>
      <c r="D50" s="102">
        <f>IFERROR(VLOOKUP($B50,'Anomaly Detection'!$A$6:$X$205,3,FALSE),"")</f>
        <v/>
      </c>
      <c r="E50" s="102">
        <f>IFERROR(VLOOKUP($B50,'Anomaly Detection'!$A$6:$X$205,4,FALSE),"")</f>
        <v/>
      </c>
      <c r="F50" s="102">
        <f>IFERROR(VLOOKUP($B50,'Anomaly Detection'!$A$6:$X$205,5,FALSE),"")</f>
        <v/>
      </c>
      <c r="G50" s="102">
        <f>IFERROR(VLOOKUP($B50,'Anomaly Detection'!$A$6:$X$205,7,FALSE),"")</f>
        <v/>
      </c>
      <c r="H50" s="102">
        <f>IFERROR(VLOOKUP($B50,'Anomaly Detection'!$A$6:$X$205,8,FALSE),"")</f>
        <v/>
      </c>
      <c r="I50" s="102">
        <f>IFERROR(VLOOKUP($B50,'Anomaly Detection'!$A$6:$X$205,14,FALSE),"")</f>
        <v/>
      </c>
      <c r="J50" s="102">
        <f>IFERROR(VLOOKUP($B50,'Anomaly Detection'!$A$6:$X$205,15,FALSE),"")</f>
        <v/>
      </c>
      <c r="K50" s="102">
        <f>IFERROR(VLOOKUP($B50,'Anomaly Detection'!$A$6:$X$205,18,FALSE),"")</f>
        <v/>
      </c>
      <c r="L50" s="102" t="inlineStr">
        <is>
          <t>Open</t>
        </is>
      </c>
      <c r="M50" s="141">
        <f>IFERROR(VLOOKUP($B50,'Anomaly Detection'!$A$6:$X$205,20,FALSE),"")</f>
        <v/>
      </c>
      <c r="N50" s="141" t="n"/>
      <c r="O50" s="102">
        <f>IF($M50="","",IF(AND($L50&lt;&gt;"Closed",TODAY()&gt;$M50),"Overdue","Not overdue"))</f>
        <v/>
      </c>
      <c r="P50" s="102" t="inlineStr">
        <is>
          <t>Not classified</t>
        </is>
      </c>
      <c r="Q50" s="102" t="n"/>
      <c r="R50" s="102" t="n"/>
      <c r="S50" s="144" t="n"/>
      <c r="T50" s="102" t="n"/>
    </row>
    <row r="51">
      <c r="A51" s="102">
        <f>IF($B51="","","WO-"&amp;TEXT(ROW()-5,"0000"))</f>
        <v/>
      </c>
      <c r="B51" s="102" t="n"/>
      <c r="C51" s="141">
        <f>IFERROR(VLOOKUP($B51,'Anomaly Detection'!$A$6:$X$205,2,FALSE),"")</f>
        <v/>
      </c>
      <c r="D51" s="102">
        <f>IFERROR(VLOOKUP($B51,'Anomaly Detection'!$A$6:$X$205,3,FALSE),"")</f>
        <v/>
      </c>
      <c r="E51" s="102">
        <f>IFERROR(VLOOKUP($B51,'Anomaly Detection'!$A$6:$X$205,4,FALSE),"")</f>
        <v/>
      </c>
      <c r="F51" s="102">
        <f>IFERROR(VLOOKUP($B51,'Anomaly Detection'!$A$6:$X$205,5,FALSE),"")</f>
        <v/>
      </c>
      <c r="G51" s="102">
        <f>IFERROR(VLOOKUP($B51,'Anomaly Detection'!$A$6:$X$205,7,FALSE),"")</f>
        <v/>
      </c>
      <c r="H51" s="102">
        <f>IFERROR(VLOOKUP($B51,'Anomaly Detection'!$A$6:$X$205,8,FALSE),"")</f>
        <v/>
      </c>
      <c r="I51" s="102">
        <f>IFERROR(VLOOKUP($B51,'Anomaly Detection'!$A$6:$X$205,14,FALSE),"")</f>
        <v/>
      </c>
      <c r="J51" s="102">
        <f>IFERROR(VLOOKUP($B51,'Anomaly Detection'!$A$6:$X$205,15,FALSE),"")</f>
        <v/>
      </c>
      <c r="K51" s="102">
        <f>IFERROR(VLOOKUP($B51,'Anomaly Detection'!$A$6:$X$205,18,FALSE),"")</f>
        <v/>
      </c>
      <c r="L51" s="102" t="inlineStr">
        <is>
          <t>Open</t>
        </is>
      </c>
      <c r="M51" s="141">
        <f>IFERROR(VLOOKUP($B51,'Anomaly Detection'!$A$6:$X$205,20,FALSE),"")</f>
        <v/>
      </c>
      <c r="N51" s="141" t="n"/>
      <c r="O51" s="102">
        <f>IF($M51="","",IF(AND($L51&lt;&gt;"Closed",TODAY()&gt;$M51),"Overdue","Not overdue"))</f>
        <v/>
      </c>
      <c r="P51" s="102" t="inlineStr">
        <is>
          <t>Not classified</t>
        </is>
      </c>
      <c r="Q51" s="102" t="n"/>
      <c r="R51" s="102" t="n"/>
      <c r="S51" s="144" t="n"/>
      <c r="T51" s="102" t="n"/>
    </row>
    <row r="52">
      <c r="A52" s="102">
        <f>IF($B52="","","WO-"&amp;TEXT(ROW()-5,"0000"))</f>
        <v/>
      </c>
      <c r="B52" s="102" t="n"/>
      <c r="C52" s="141">
        <f>IFERROR(VLOOKUP($B52,'Anomaly Detection'!$A$6:$X$205,2,FALSE),"")</f>
        <v/>
      </c>
      <c r="D52" s="102">
        <f>IFERROR(VLOOKUP($B52,'Anomaly Detection'!$A$6:$X$205,3,FALSE),"")</f>
        <v/>
      </c>
      <c r="E52" s="102">
        <f>IFERROR(VLOOKUP($B52,'Anomaly Detection'!$A$6:$X$205,4,FALSE),"")</f>
        <v/>
      </c>
      <c r="F52" s="102">
        <f>IFERROR(VLOOKUP($B52,'Anomaly Detection'!$A$6:$X$205,5,FALSE),"")</f>
        <v/>
      </c>
      <c r="G52" s="102">
        <f>IFERROR(VLOOKUP($B52,'Anomaly Detection'!$A$6:$X$205,7,FALSE),"")</f>
        <v/>
      </c>
      <c r="H52" s="102">
        <f>IFERROR(VLOOKUP($B52,'Anomaly Detection'!$A$6:$X$205,8,FALSE),"")</f>
        <v/>
      </c>
      <c r="I52" s="102">
        <f>IFERROR(VLOOKUP($B52,'Anomaly Detection'!$A$6:$X$205,14,FALSE),"")</f>
        <v/>
      </c>
      <c r="J52" s="102">
        <f>IFERROR(VLOOKUP($B52,'Anomaly Detection'!$A$6:$X$205,15,FALSE),"")</f>
        <v/>
      </c>
      <c r="K52" s="102">
        <f>IFERROR(VLOOKUP($B52,'Anomaly Detection'!$A$6:$X$205,18,FALSE),"")</f>
        <v/>
      </c>
      <c r="L52" s="102" t="inlineStr">
        <is>
          <t>Open</t>
        </is>
      </c>
      <c r="M52" s="141">
        <f>IFERROR(VLOOKUP($B52,'Anomaly Detection'!$A$6:$X$205,20,FALSE),"")</f>
        <v/>
      </c>
      <c r="N52" s="141" t="n"/>
      <c r="O52" s="102">
        <f>IF($M52="","",IF(AND($L52&lt;&gt;"Closed",TODAY()&gt;$M52),"Overdue","Not overdue"))</f>
        <v/>
      </c>
      <c r="P52" s="102" t="inlineStr">
        <is>
          <t>Not classified</t>
        </is>
      </c>
      <c r="Q52" s="102" t="n"/>
      <c r="R52" s="102" t="n"/>
      <c r="S52" s="144" t="n"/>
      <c r="T52" s="102" t="n"/>
    </row>
    <row r="53">
      <c r="A53" s="102">
        <f>IF($B53="","","WO-"&amp;TEXT(ROW()-5,"0000"))</f>
        <v/>
      </c>
      <c r="B53" s="102" t="n"/>
      <c r="C53" s="141">
        <f>IFERROR(VLOOKUP($B53,'Anomaly Detection'!$A$6:$X$205,2,FALSE),"")</f>
        <v/>
      </c>
      <c r="D53" s="102">
        <f>IFERROR(VLOOKUP($B53,'Anomaly Detection'!$A$6:$X$205,3,FALSE),"")</f>
        <v/>
      </c>
      <c r="E53" s="102">
        <f>IFERROR(VLOOKUP($B53,'Anomaly Detection'!$A$6:$X$205,4,FALSE),"")</f>
        <v/>
      </c>
      <c r="F53" s="102">
        <f>IFERROR(VLOOKUP($B53,'Anomaly Detection'!$A$6:$X$205,5,FALSE),"")</f>
        <v/>
      </c>
      <c r="G53" s="102">
        <f>IFERROR(VLOOKUP($B53,'Anomaly Detection'!$A$6:$X$205,7,FALSE),"")</f>
        <v/>
      </c>
      <c r="H53" s="102">
        <f>IFERROR(VLOOKUP($B53,'Anomaly Detection'!$A$6:$X$205,8,FALSE),"")</f>
        <v/>
      </c>
      <c r="I53" s="102">
        <f>IFERROR(VLOOKUP($B53,'Anomaly Detection'!$A$6:$X$205,14,FALSE),"")</f>
        <v/>
      </c>
      <c r="J53" s="102">
        <f>IFERROR(VLOOKUP($B53,'Anomaly Detection'!$A$6:$X$205,15,FALSE),"")</f>
        <v/>
      </c>
      <c r="K53" s="102">
        <f>IFERROR(VLOOKUP($B53,'Anomaly Detection'!$A$6:$X$205,18,FALSE),"")</f>
        <v/>
      </c>
      <c r="L53" s="102" t="inlineStr">
        <is>
          <t>Open</t>
        </is>
      </c>
      <c r="M53" s="141">
        <f>IFERROR(VLOOKUP($B53,'Anomaly Detection'!$A$6:$X$205,20,FALSE),"")</f>
        <v/>
      </c>
      <c r="N53" s="141" t="n"/>
      <c r="O53" s="102">
        <f>IF($M53="","",IF(AND($L53&lt;&gt;"Closed",TODAY()&gt;$M53),"Overdue","Not overdue"))</f>
        <v/>
      </c>
      <c r="P53" s="102" t="inlineStr">
        <is>
          <t>Not classified</t>
        </is>
      </c>
      <c r="Q53" s="102" t="n"/>
      <c r="R53" s="102" t="n"/>
      <c r="S53" s="144" t="n"/>
      <c r="T53" s="102" t="n"/>
    </row>
    <row r="54">
      <c r="A54" s="102">
        <f>IF($B54="","","WO-"&amp;TEXT(ROW()-5,"0000"))</f>
        <v/>
      </c>
      <c r="B54" s="102" t="n"/>
      <c r="C54" s="141">
        <f>IFERROR(VLOOKUP($B54,'Anomaly Detection'!$A$6:$X$205,2,FALSE),"")</f>
        <v/>
      </c>
      <c r="D54" s="102">
        <f>IFERROR(VLOOKUP($B54,'Anomaly Detection'!$A$6:$X$205,3,FALSE),"")</f>
        <v/>
      </c>
      <c r="E54" s="102">
        <f>IFERROR(VLOOKUP($B54,'Anomaly Detection'!$A$6:$X$205,4,FALSE),"")</f>
        <v/>
      </c>
      <c r="F54" s="102">
        <f>IFERROR(VLOOKUP($B54,'Anomaly Detection'!$A$6:$X$205,5,FALSE),"")</f>
        <v/>
      </c>
      <c r="G54" s="102">
        <f>IFERROR(VLOOKUP($B54,'Anomaly Detection'!$A$6:$X$205,7,FALSE),"")</f>
        <v/>
      </c>
      <c r="H54" s="102">
        <f>IFERROR(VLOOKUP($B54,'Anomaly Detection'!$A$6:$X$205,8,FALSE),"")</f>
        <v/>
      </c>
      <c r="I54" s="102">
        <f>IFERROR(VLOOKUP($B54,'Anomaly Detection'!$A$6:$X$205,14,FALSE),"")</f>
        <v/>
      </c>
      <c r="J54" s="102">
        <f>IFERROR(VLOOKUP($B54,'Anomaly Detection'!$A$6:$X$205,15,FALSE),"")</f>
        <v/>
      </c>
      <c r="K54" s="102">
        <f>IFERROR(VLOOKUP($B54,'Anomaly Detection'!$A$6:$X$205,18,FALSE),"")</f>
        <v/>
      </c>
      <c r="L54" s="102" t="inlineStr">
        <is>
          <t>Open</t>
        </is>
      </c>
      <c r="M54" s="141">
        <f>IFERROR(VLOOKUP($B54,'Anomaly Detection'!$A$6:$X$205,20,FALSE),"")</f>
        <v/>
      </c>
      <c r="N54" s="141" t="n"/>
      <c r="O54" s="102">
        <f>IF($M54="","",IF(AND($L54&lt;&gt;"Closed",TODAY()&gt;$M54),"Overdue","Not overdue"))</f>
        <v/>
      </c>
      <c r="P54" s="102" t="inlineStr">
        <is>
          <t>Not classified</t>
        </is>
      </c>
      <c r="Q54" s="102" t="n"/>
      <c r="R54" s="102" t="n"/>
      <c r="S54" s="144" t="n"/>
      <c r="T54" s="102" t="n"/>
    </row>
    <row r="55">
      <c r="A55" s="102">
        <f>IF($B55="","","WO-"&amp;TEXT(ROW()-5,"0000"))</f>
        <v/>
      </c>
      <c r="B55" s="102" t="n"/>
      <c r="C55" s="141">
        <f>IFERROR(VLOOKUP($B55,'Anomaly Detection'!$A$6:$X$205,2,FALSE),"")</f>
        <v/>
      </c>
      <c r="D55" s="102">
        <f>IFERROR(VLOOKUP($B55,'Anomaly Detection'!$A$6:$X$205,3,FALSE),"")</f>
        <v/>
      </c>
      <c r="E55" s="102">
        <f>IFERROR(VLOOKUP($B55,'Anomaly Detection'!$A$6:$X$205,4,FALSE),"")</f>
        <v/>
      </c>
      <c r="F55" s="102">
        <f>IFERROR(VLOOKUP($B55,'Anomaly Detection'!$A$6:$X$205,5,FALSE),"")</f>
        <v/>
      </c>
      <c r="G55" s="102">
        <f>IFERROR(VLOOKUP($B55,'Anomaly Detection'!$A$6:$X$205,7,FALSE),"")</f>
        <v/>
      </c>
      <c r="H55" s="102">
        <f>IFERROR(VLOOKUP($B55,'Anomaly Detection'!$A$6:$X$205,8,FALSE),"")</f>
        <v/>
      </c>
      <c r="I55" s="102">
        <f>IFERROR(VLOOKUP($B55,'Anomaly Detection'!$A$6:$X$205,14,FALSE),"")</f>
        <v/>
      </c>
      <c r="J55" s="102">
        <f>IFERROR(VLOOKUP($B55,'Anomaly Detection'!$A$6:$X$205,15,FALSE),"")</f>
        <v/>
      </c>
      <c r="K55" s="102">
        <f>IFERROR(VLOOKUP($B55,'Anomaly Detection'!$A$6:$X$205,18,FALSE),"")</f>
        <v/>
      </c>
      <c r="L55" s="102" t="inlineStr">
        <is>
          <t>Open</t>
        </is>
      </c>
      <c r="M55" s="141">
        <f>IFERROR(VLOOKUP($B55,'Anomaly Detection'!$A$6:$X$205,20,FALSE),"")</f>
        <v/>
      </c>
      <c r="N55" s="141" t="n"/>
      <c r="O55" s="102">
        <f>IF($M55="","",IF(AND($L55&lt;&gt;"Closed",TODAY()&gt;$M55),"Overdue","Not overdue"))</f>
        <v/>
      </c>
      <c r="P55" s="102" t="inlineStr">
        <is>
          <t>Not classified</t>
        </is>
      </c>
      <c r="Q55" s="102" t="n"/>
      <c r="R55" s="102" t="n"/>
      <c r="S55" s="144" t="n"/>
      <c r="T55" s="102" t="n"/>
    </row>
    <row r="56">
      <c r="A56" s="102">
        <f>IF($B56="","","WO-"&amp;TEXT(ROW()-5,"0000"))</f>
        <v/>
      </c>
      <c r="B56" s="102" t="n"/>
      <c r="C56" s="141">
        <f>IFERROR(VLOOKUP($B56,'Anomaly Detection'!$A$6:$X$205,2,FALSE),"")</f>
        <v/>
      </c>
      <c r="D56" s="102">
        <f>IFERROR(VLOOKUP($B56,'Anomaly Detection'!$A$6:$X$205,3,FALSE),"")</f>
        <v/>
      </c>
      <c r="E56" s="102">
        <f>IFERROR(VLOOKUP($B56,'Anomaly Detection'!$A$6:$X$205,4,FALSE),"")</f>
        <v/>
      </c>
      <c r="F56" s="102">
        <f>IFERROR(VLOOKUP($B56,'Anomaly Detection'!$A$6:$X$205,5,FALSE),"")</f>
        <v/>
      </c>
      <c r="G56" s="102">
        <f>IFERROR(VLOOKUP($B56,'Anomaly Detection'!$A$6:$X$205,7,FALSE),"")</f>
        <v/>
      </c>
      <c r="H56" s="102">
        <f>IFERROR(VLOOKUP($B56,'Anomaly Detection'!$A$6:$X$205,8,FALSE),"")</f>
        <v/>
      </c>
      <c r="I56" s="102">
        <f>IFERROR(VLOOKUP($B56,'Anomaly Detection'!$A$6:$X$205,14,FALSE),"")</f>
        <v/>
      </c>
      <c r="J56" s="102">
        <f>IFERROR(VLOOKUP($B56,'Anomaly Detection'!$A$6:$X$205,15,FALSE),"")</f>
        <v/>
      </c>
      <c r="K56" s="102">
        <f>IFERROR(VLOOKUP($B56,'Anomaly Detection'!$A$6:$X$205,18,FALSE),"")</f>
        <v/>
      </c>
      <c r="L56" s="102" t="inlineStr">
        <is>
          <t>Open</t>
        </is>
      </c>
      <c r="M56" s="141">
        <f>IFERROR(VLOOKUP($B56,'Anomaly Detection'!$A$6:$X$205,20,FALSE),"")</f>
        <v/>
      </c>
      <c r="N56" s="141" t="n"/>
      <c r="O56" s="102">
        <f>IF($M56="","",IF(AND($L56&lt;&gt;"Closed",TODAY()&gt;$M56),"Overdue","Not overdue"))</f>
        <v/>
      </c>
      <c r="P56" s="102" t="inlineStr">
        <is>
          <t>Not classified</t>
        </is>
      </c>
      <c r="Q56" s="102" t="n"/>
      <c r="R56" s="102" t="n"/>
      <c r="S56" s="144" t="n"/>
      <c r="T56" s="102" t="n"/>
    </row>
    <row r="57">
      <c r="A57" s="102">
        <f>IF($B57="","","WO-"&amp;TEXT(ROW()-5,"0000"))</f>
        <v/>
      </c>
      <c r="B57" s="102" t="n"/>
      <c r="C57" s="141">
        <f>IFERROR(VLOOKUP($B57,'Anomaly Detection'!$A$6:$X$205,2,FALSE),"")</f>
        <v/>
      </c>
      <c r="D57" s="102">
        <f>IFERROR(VLOOKUP($B57,'Anomaly Detection'!$A$6:$X$205,3,FALSE),"")</f>
        <v/>
      </c>
      <c r="E57" s="102">
        <f>IFERROR(VLOOKUP($B57,'Anomaly Detection'!$A$6:$X$205,4,FALSE),"")</f>
        <v/>
      </c>
      <c r="F57" s="102">
        <f>IFERROR(VLOOKUP($B57,'Anomaly Detection'!$A$6:$X$205,5,FALSE),"")</f>
        <v/>
      </c>
      <c r="G57" s="102">
        <f>IFERROR(VLOOKUP($B57,'Anomaly Detection'!$A$6:$X$205,7,FALSE),"")</f>
        <v/>
      </c>
      <c r="H57" s="102">
        <f>IFERROR(VLOOKUP($B57,'Anomaly Detection'!$A$6:$X$205,8,FALSE),"")</f>
        <v/>
      </c>
      <c r="I57" s="102">
        <f>IFERROR(VLOOKUP($B57,'Anomaly Detection'!$A$6:$X$205,14,FALSE),"")</f>
        <v/>
      </c>
      <c r="J57" s="102">
        <f>IFERROR(VLOOKUP($B57,'Anomaly Detection'!$A$6:$X$205,15,FALSE),"")</f>
        <v/>
      </c>
      <c r="K57" s="102">
        <f>IFERROR(VLOOKUP($B57,'Anomaly Detection'!$A$6:$X$205,18,FALSE),"")</f>
        <v/>
      </c>
      <c r="L57" s="102" t="inlineStr">
        <is>
          <t>Open</t>
        </is>
      </c>
      <c r="M57" s="141">
        <f>IFERROR(VLOOKUP($B57,'Anomaly Detection'!$A$6:$X$205,20,FALSE),"")</f>
        <v/>
      </c>
      <c r="N57" s="141" t="n"/>
      <c r="O57" s="102">
        <f>IF($M57="","",IF(AND($L57&lt;&gt;"Closed",TODAY()&gt;$M57),"Overdue","Not overdue"))</f>
        <v/>
      </c>
      <c r="P57" s="102" t="inlineStr">
        <is>
          <t>Not classified</t>
        </is>
      </c>
      <c r="Q57" s="102" t="n"/>
      <c r="R57" s="102" t="n"/>
      <c r="S57" s="144" t="n"/>
      <c r="T57" s="102" t="n"/>
    </row>
    <row r="58">
      <c r="A58" s="102">
        <f>IF($B58="","","WO-"&amp;TEXT(ROW()-5,"0000"))</f>
        <v/>
      </c>
      <c r="B58" s="102" t="n"/>
      <c r="C58" s="141">
        <f>IFERROR(VLOOKUP($B58,'Anomaly Detection'!$A$6:$X$205,2,FALSE),"")</f>
        <v/>
      </c>
      <c r="D58" s="102">
        <f>IFERROR(VLOOKUP($B58,'Anomaly Detection'!$A$6:$X$205,3,FALSE),"")</f>
        <v/>
      </c>
      <c r="E58" s="102">
        <f>IFERROR(VLOOKUP($B58,'Anomaly Detection'!$A$6:$X$205,4,FALSE),"")</f>
        <v/>
      </c>
      <c r="F58" s="102">
        <f>IFERROR(VLOOKUP($B58,'Anomaly Detection'!$A$6:$X$205,5,FALSE),"")</f>
        <v/>
      </c>
      <c r="G58" s="102">
        <f>IFERROR(VLOOKUP($B58,'Anomaly Detection'!$A$6:$X$205,7,FALSE),"")</f>
        <v/>
      </c>
      <c r="H58" s="102">
        <f>IFERROR(VLOOKUP($B58,'Anomaly Detection'!$A$6:$X$205,8,FALSE),"")</f>
        <v/>
      </c>
      <c r="I58" s="102">
        <f>IFERROR(VLOOKUP($B58,'Anomaly Detection'!$A$6:$X$205,14,FALSE),"")</f>
        <v/>
      </c>
      <c r="J58" s="102">
        <f>IFERROR(VLOOKUP($B58,'Anomaly Detection'!$A$6:$X$205,15,FALSE),"")</f>
        <v/>
      </c>
      <c r="K58" s="102">
        <f>IFERROR(VLOOKUP($B58,'Anomaly Detection'!$A$6:$X$205,18,FALSE),"")</f>
        <v/>
      </c>
      <c r="L58" s="102" t="inlineStr">
        <is>
          <t>Open</t>
        </is>
      </c>
      <c r="M58" s="141">
        <f>IFERROR(VLOOKUP($B58,'Anomaly Detection'!$A$6:$X$205,20,FALSE),"")</f>
        <v/>
      </c>
      <c r="N58" s="141" t="n"/>
      <c r="O58" s="102">
        <f>IF($M58="","",IF(AND($L58&lt;&gt;"Closed",TODAY()&gt;$M58),"Overdue","Not overdue"))</f>
        <v/>
      </c>
      <c r="P58" s="102" t="inlineStr">
        <is>
          <t>Not classified</t>
        </is>
      </c>
      <c r="Q58" s="102" t="n"/>
      <c r="R58" s="102" t="n"/>
      <c r="S58" s="144" t="n"/>
      <c r="T58" s="102" t="n"/>
    </row>
    <row r="59">
      <c r="A59" s="102">
        <f>IF($B59="","","WO-"&amp;TEXT(ROW()-5,"0000"))</f>
        <v/>
      </c>
      <c r="B59" s="102" t="n"/>
      <c r="C59" s="141">
        <f>IFERROR(VLOOKUP($B59,'Anomaly Detection'!$A$6:$X$205,2,FALSE),"")</f>
        <v/>
      </c>
      <c r="D59" s="102">
        <f>IFERROR(VLOOKUP($B59,'Anomaly Detection'!$A$6:$X$205,3,FALSE),"")</f>
        <v/>
      </c>
      <c r="E59" s="102">
        <f>IFERROR(VLOOKUP($B59,'Anomaly Detection'!$A$6:$X$205,4,FALSE),"")</f>
        <v/>
      </c>
      <c r="F59" s="102">
        <f>IFERROR(VLOOKUP($B59,'Anomaly Detection'!$A$6:$X$205,5,FALSE),"")</f>
        <v/>
      </c>
      <c r="G59" s="102">
        <f>IFERROR(VLOOKUP($B59,'Anomaly Detection'!$A$6:$X$205,7,FALSE),"")</f>
        <v/>
      </c>
      <c r="H59" s="102">
        <f>IFERROR(VLOOKUP($B59,'Anomaly Detection'!$A$6:$X$205,8,FALSE),"")</f>
        <v/>
      </c>
      <c r="I59" s="102">
        <f>IFERROR(VLOOKUP($B59,'Anomaly Detection'!$A$6:$X$205,14,FALSE),"")</f>
        <v/>
      </c>
      <c r="J59" s="102">
        <f>IFERROR(VLOOKUP($B59,'Anomaly Detection'!$A$6:$X$205,15,FALSE),"")</f>
        <v/>
      </c>
      <c r="K59" s="102">
        <f>IFERROR(VLOOKUP($B59,'Anomaly Detection'!$A$6:$X$205,18,FALSE),"")</f>
        <v/>
      </c>
      <c r="L59" s="102" t="inlineStr">
        <is>
          <t>Open</t>
        </is>
      </c>
      <c r="M59" s="141">
        <f>IFERROR(VLOOKUP($B59,'Anomaly Detection'!$A$6:$X$205,20,FALSE),"")</f>
        <v/>
      </c>
      <c r="N59" s="141" t="n"/>
      <c r="O59" s="102">
        <f>IF($M59="","",IF(AND($L59&lt;&gt;"Closed",TODAY()&gt;$M59),"Overdue","Not overdue"))</f>
        <v/>
      </c>
      <c r="P59" s="102" t="inlineStr">
        <is>
          <t>Not classified</t>
        </is>
      </c>
      <c r="Q59" s="102" t="n"/>
      <c r="R59" s="102" t="n"/>
      <c r="S59" s="144" t="n"/>
      <c r="T59" s="102" t="n"/>
    </row>
    <row r="60">
      <c r="A60" s="102">
        <f>IF($B60="","","WO-"&amp;TEXT(ROW()-5,"0000"))</f>
        <v/>
      </c>
      <c r="B60" s="102" t="n"/>
      <c r="C60" s="141">
        <f>IFERROR(VLOOKUP($B60,'Anomaly Detection'!$A$6:$X$205,2,FALSE),"")</f>
        <v/>
      </c>
      <c r="D60" s="102">
        <f>IFERROR(VLOOKUP($B60,'Anomaly Detection'!$A$6:$X$205,3,FALSE),"")</f>
        <v/>
      </c>
      <c r="E60" s="102">
        <f>IFERROR(VLOOKUP($B60,'Anomaly Detection'!$A$6:$X$205,4,FALSE),"")</f>
        <v/>
      </c>
      <c r="F60" s="102">
        <f>IFERROR(VLOOKUP($B60,'Anomaly Detection'!$A$6:$X$205,5,FALSE),"")</f>
        <v/>
      </c>
      <c r="G60" s="102">
        <f>IFERROR(VLOOKUP($B60,'Anomaly Detection'!$A$6:$X$205,7,FALSE),"")</f>
        <v/>
      </c>
      <c r="H60" s="102">
        <f>IFERROR(VLOOKUP($B60,'Anomaly Detection'!$A$6:$X$205,8,FALSE),"")</f>
        <v/>
      </c>
      <c r="I60" s="102">
        <f>IFERROR(VLOOKUP($B60,'Anomaly Detection'!$A$6:$X$205,14,FALSE),"")</f>
        <v/>
      </c>
      <c r="J60" s="102">
        <f>IFERROR(VLOOKUP($B60,'Anomaly Detection'!$A$6:$X$205,15,FALSE),"")</f>
        <v/>
      </c>
      <c r="K60" s="102">
        <f>IFERROR(VLOOKUP($B60,'Anomaly Detection'!$A$6:$X$205,18,FALSE),"")</f>
        <v/>
      </c>
      <c r="L60" s="102" t="inlineStr">
        <is>
          <t>Open</t>
        </is>
      </c>
      <c r="M60" s="141">
        <f>IFERROR(VLOOKUP($B60,'Anomaly Detection'!$A$6:$X$205,20,FALSE),"")</f>
        <v/>
      </c>
      <c r="N60" s="141" t="n"/>
      <c r="O60" s="102">
        <f>IF($M60="","",IF(AND($L60&lt;&gt;"Closed",TODAY()&gt;$M60),"Overdue","Not overdue"))</f>
        <v/>
      </c>
      <c r="P60" s="102" t="inlineStr">
        <is>
          <t>Not classified</t>
        </is>
      </c>
      <c r="Q60" s="102" t="n"/>
      <c r="R60" s="102" t="n"/>
      <c r="S60" s="144" t="n"/>
      <c r="T60" s="102" t="n"/>
    </row>
    <row r="61">
      <c r="A61" s="102">
        <f>IF($B61="","","WO-"&amp;TEXT(ROW()-5,"0000"))</f>
        <v/>
      </c>
      <c r="B61" s="102" t="n"/>
      <c r="C61" s="141">
        <f>IFERROR(VLOOKUP($B61,'Anomaly Detection'!$A$6:$X$205,2,FALSE),"")</f>
        <v/>
      </c>
      <c r="D61" s="102">
        <f>IFERROR(VLOOKUP($B61,'Anomaly Detection'!$A$6:$X$205,3,FALSE),"")</f>
        <v/>
      </c>
      <c r="E61" s="102">
        <f>IFERROR(VLOOKUP($B61,'Anomaly Detection'!$A$6:$X$205,4,FALSE),"")</f>
        <v/>
      </c>
      <c r="F61" s="102">
        <f>IFERROR(VLOOKUP($B61,'Anomaly Detection'!$A$6:$X$205,5,FALSE),"")</f>
        <v/>
      </c>
      <c r="G61" s="102">
        <f>IFERROR(VLOOKUP($B61,'Anomaly Detection'!$A$6:$X$205,7,FALSE),"")</f>
        <v/>
      </c>
      <c r="H61" s="102">
        <f>IFERROR(VLOOKUP($B61,'Anomaly Detection'!$A$6:$X$205,8,FALSE),"")</f>
        <v/>
      </c>
      <c r="I61" s="102">
        <f>IFERROR(VLOOKUP($B61,'Anomaly Detection'!$A$6:$X$205,14,FALSE),"")</f>
        <v/>
      </c>
      <c r="J61" s="102">
        <f>IFERROR(VLOOKUP($B61,'Anomaly Detection'!$A$6:$X$205,15,FALSE),"")</f>
        <v/>
      </c>
      <c r="K61" s="102">
        <f>IFERROR(VLOOKUP($B61,'Anomaly Detection'!$A$6:$X$205,18,FALSE),"")</f>
        <v/>
      </c>
      <c r="L61" s="102" t="inlineStr">
        <is>
          <t>Open</t>
        </is>
      </c>
      <c r="M61" s="141">
        <f>IFERROR(VLOOKUP($B61,'Anomaly Detection'!$A$6:$X$205,20,FALSE),"")</f>
        <v/>
      </c>
      <c r="N61" s="141" t="n"/>
      <c r="O61" s="102">
        <f>IF($M61="","",IF(AND($L61&lt;&gt;"Closed",TODAY()&gt;$M61),"Overdue","Not overdue"))</f>
        <v/>
      </c>
      <c r="P61" s="102" t="inlineStr">
        <is>
          <t>Not classified</t>
        </is>
      </c>
      <c r="Q61" s="102" t="n"/>
      <c r="R61" s="102" t="n"/>
      <c r="S61" s="144" t="n"/>
      <c r="T61" s="102" t="n"/>
    </row>
    <row r="62">
      <c r="A62" s="102">
        <f>IF($B62="","","WO-"&amp;TEXT(ROW()-5,"0000"))</f>
        <v/>
      </c>
      <c r="B62" s="102" t="n"/>
      <c r="C62" s="141">
        <f>IFERROR(VLOOKUP($B62,'Anomaly Detection'!$A$6:$X$205,2,FALSE),"")</f>
        <v/>
      </c>
      <c r="D62" s="102">
        <f>IFERROR(VLOOKUP($B62,'Anomaly Detection'!$A$6:$X$205,3,FALSE),"")</f>
        <v/>
      </c>
      <c r="E62" s="102">
        <f>IFERROR(VLOOKUP($B62,'Anomaly Detection'!$A$6:$X$205,4,FALSE),"")</f>
        <v/>
      </c>
      <c r="F62" s="102">
        <f>IFERROR(VLOOKUP($B62,'Anomaly Detection'!$A$6:$X$205,5,FALSE),"")</f>
        <v/>
      </c>
      <c r="G62" s="102">
        <f>IFERROR(VLOOKUP($B62,'Anomaly Detection'!$A$6:$X$205,7,FALSE),"")</f>
        <v/>
      </c>
      <c r="H62" s="102">
        <f>IFERROR(VLOOKUP($B62,'Anomaly Detection'!$A$6:$X$205,8,FALSE),"")</f>
        <v/>
      </c>
      <c r="I62" s="102">
        <f>IFERROR(VLOOKUP($B62,'Anomaly Detection'!$A$6:$X$205,14,FALSE),"")</f>
        <v/>
      </c>
      <c r="J62" s="102">
        <f>IFERROR(VLOOKUP($B62,'Anomaly Detection'!$A$6:$X$205,15,FALSE),"")</f>
        <v/>
      </c>
      <c r="K62" s="102">
        <f>IFERROR(VLOOKUP($B62,'Anomaly Detection'!$A$6:$X$205,18,FALSE),"")</f>
        <v/>
      </c>
      <c r="L62" s="102" t="inlineStr">
        <is>
          <t>Open</t>
        </is>
      </c>
      <c r="M62" s="141">
        <f>IFERROR(VLOOKUP($B62,'Anomaly Detection'!$A$6:$X$205,20,FALSE),"")</f>
        <v/>
      </c>
      <c r="N62" s="141" t="n"/>
      <c r="O62" s="102">
        <f>IF($M62="","",IF(AND($L62&lt;&gt;"Closed",TODAY()&gt;$M62),"Overdue","Not overdue"))</f>
        <v/>
      </c>
      <c r="P62" s="102" t="inlineStr">
        <is>
          <t>Not classified</t>
        </is>
      </c>
      <c r="Q62" s="102" t="n"/>
      <c r="R62" s="102" t="n"/>
      <c r="S62" s="144" t="n"/>
      <c r="T62" s="102" t="n"/>
    </row>
    <row r="63">
      <c r="A63" s="102">
        <f>IF($B63="","","WO-"&amp;TEXT(ROW()-5,"0000"))</f>
        <v/>
      </c>
      <c r="B63" s="102" t="n"/>
      <c r="C63" s="141">
        <f>IFERROR(VLOOKUP($B63,'Anomaly Detection'!$A$6:$X$205,2,FALSE),"")</f>
        <v/>
      </c>
      <c r="D63" s="102">
        <f>IFERROR(VLOOKUP($B63,'Anomaly Detection'!$A$6:$X$205,3,FALSE),"")</f>
        <v/>
      </c>
      <c r="E63" s="102">
        <f>IFERROR(VLOOKUP($B63,'Anomaly Detection'!$A$6:$X$205,4,FALSE),"")</f>
        <v/>
      </c>
      <c r="F63" s="102">
        <f>IFERROR(VLOOKUP($B63,'Anomaly Detection'!$A$6:$X$205,5,FALSE),"")</f>
        <v/>
      </c>
      <c r="G63" s="102">
        <f>IFERROR(VLOOKUP($B63,'Anomaly Detection'!$A$6:$X$205,7,FALSE),"")</f>
        <v/>
      </c>
      <c r="H63" s="102">
        <f>IFERROR(VLOOKUP($B63,'Anomaly Detection'!$A$6:$X$205,8,FALSE),"")</f>
        <v/>
      </c>
      <c r="I63" s="102">
        <f>IFERROR(VLOOKUP($B63,'Anomaly Detection'!$A$6:$X$205,14,FALSE),"")</f>
        <v/>
      </c>
      <c r="J63" s="102">
        <f>IFERROR(VLOOKUP($B63,'Anomaly Detection'!$A$6:$X$205,15,FALSE),"")</f>
        <v/>
      </c>
      <c r="K63" s="102">
        <f>IFERROR(VLOOKUP($B63,'Anomaly Detection'!$A$6:$X$205,18,FALSE),"")</f>
        <v/>
      </c>
      <c r="L63" s="102" t="inlineStr">
        <is>
          <t>Open</t>
        </is>
      </c>
      <c r="M63" s="141">
        <f>IFERROR(VLOOKUP($B63,'Anomaly Detection'!$A$6:$X$205,20,FALSE),"")</f>
        <v/>
      </c>
      <c r="N63" s="141" t="n"/>
      <c r="O63" s="102">
        <f>IF($M63="","",IF(AND($L63&lt;&gt;"Closed",TODAY()&gt;$M63),"Overdue","Not overdue"))</f>
        <v/>
      </c>
      <c r="P63" s="102" t="inlineStr">
        <is>
          <t>Not classified</t>
        </is>
      </c>
      <c r="Q63" s="102" t="n"/>
      <c r="R63" s="102" t="n"/>
      <c r="S63" s="144" t="n"/>
      <c r="T63" s="102" t="n"/>
    </row>
    <row r="64">
      <c r="A64" s="102">
        <f>IF($B64="","","WO-"&amp;TEXT(ROW()-5,"0000"))</f>
        <v/>
      </c>
      <c r="B64" s="102" t="n"/>
      <c r="C64" s="141">
        <f>IFERROR(VLOOKUP($B64,'Anomaly Detection'!$A$6:$X$205,2,FALSE),"")</f>
        <v/>
      </c>
      <c r="D64" s="102">
        <f>IFERROR(VLOOKUP($B64,'Anomaly Detection'!$A$6:$X$205,3,FALSE),"")</f>
        <v/>
      </c>
      <c r="E64" s="102">
        <f>IFERROR(VLOOKUP($B64,'Anomaly Detection'!$A$6:$X$205,4,FALSE),"")</f>
        <v/>
      </c>
      <c r="F64" s="102">
        <f>IFERROR(VLOOKUP($B64,'Anomaly Detection'!$A$6:$X$205,5,FALSE),"")</f>
        <v/>
      </c>
      <c r="G64" s="102">
        <f>IFERROR(VLOOKUP($B64,'Anomaly Detection'!$A$6:$X$205,7,FALSE),"")</f>
        <v/>
      </c>
      <c r="H64" s="102">
        <f>IFERROR(VLOOKUP($B64,'Anomaly Detection'!$A$6:$X$205,8,FALSE),"")</f>
        <v/>
      </c>
      <c r="I64" s="102">
        <f>IFERROR(VLOOKUP($B64,'Anomaly Detection'!$A$6:$X$205,14,FALSE),"")</f>
        <v/>
      </c>
      <c r="J64" s="102">
        <f>IFERROR(VLOOKUP($B64,'Anomaly Detection'!$A$6:$X$205,15,FALSE),"")</f>
        <v/>
      </c>
      <c r="K64" s="102">
        <f>IFERROR(VLOOKUP($B64,'Anomaly Detection'!$A$6:$X$205,18,FALSE),"")</f>
        <v/>
      </c>
      <c r="L64" s="102" t="inlineStr">
        <is>
          <t>Open</t>
        </is>
      </c>
      <c r="M64" s="141">
        <f>IFERROR(VLOOKUP($B64,'Anomaly Detection'!$A$6:$X$205,20,FALSE),"")</f>
        <v/>
      </c>
      <c r="N64" s="141" t="n"/>
      <c r="O64" s="102">
        <f>IF($M64="","",IF(AND($L64&lt;&gt;"Closed",TODAY()&gt;$M64),"Overdue","Not overdue"))</f>
        <v/>
      </c>
      <c r="P64" s="102" t="inlineStr">
        <is>
          <t>Not classified</t>
        </is>
      </c>
      <c r="Q64" s="102" t="n"/>
      <c r="R64" s="102" t="n"/>
      <c r="S64" s="144" t="n"/>
      <c r="T64" s="102" t="n"/>
    </row>
    <row r="65">
      <c r="A65" s="102">
        <f>IF($B65="","","WO-"&amp;TEXT(ROW()-5,"0000"))</f>
        <v/>
      </c>
      <c r="B65" s="102" t="n"/>
      <c r="C65" s="141">
        <f>IFERROR(VLOOKUP($B65,'Anomaly Detection'!$A$6:$X$205,2,FALSE),"")</f>
        <v/>
      </c>
      <c r="D65" s="102">
        <f>IFERROR(VLOOKUP($B65,'Anomaly Detection'!$A$6:$X$205,3,FALSE),"")</f>
        <v/>
      </c>
      <c r="E65" s="102">
        <f>IFERROR(VLOOKUP($B65,'Anomaly Detection'!$A$6:$X$205,4,FALSE),"")</f>
        <v/>
      </c>
      <c r="F65" s="102">
        <f>IFERROR(VLOOKUP($B65,'Anomaly Detection'!$A$6:$X$205,5,FALSE),"")</f>
        <v/>
      </c>
      <c r="G65" s="102">
        <f>IFERROR(VLOOKUP($B65,'Anomaly Detection'!$A$6:$X$205,7,FALSE),"")</f>
        <v/>
      </c>
      <c r="H65" s="102">
        <f>IFERROR(VLOOKUP($B65,'Anomaly Detection'!$A$6:$X$205,8,FALSE),"")</f>
        <v/>
      </c>
      <c r="I65" s="102">
        <f>IFERROR(VLOOKUP($B65,'Anomaly Detection'!$A$6:$X$205,14,FALSE),"")</f>
        <v/>
      </c>
      <c r="J65" s="102">
        <f>IFERROR(VLOOKUP($B65,'Anomaly Detection'!$A$6:$X$205,15,FALSE),"")</f>
        <v/>
      </c>
      <c r="K65" s="102">
        <f>IFERROR(VLOOKUP($B65,'Anomaly Detection'!$A$6:$X$205,18,FALSE),"")</f>
        <v/>
      </c>
      <c r="L65" s="102" t="inlineStr">
        <is>
          <t>Open</t>
        </is>
      </c>
      <c r="M65" s="141">
        <f>IFERROR(VLOOKUP($B65,'Anomaly Detection'!$A$6:$X$205,20,FALSE),"")</f>
        <v/>
      </c>
      <c r="N65" s="141" t="n"/>
      <c r="O65" s="102">
        <f>IF($M65="","",IF(AND($L65&lt;&gt;"Closed",TODAY()&gt;$M65),"Overdue","Not overdue"))</f>
        <v/>
      </c>
      <c r="P65" s="102" t="inlineStr">
        <is>
          <t>Not classified</t>
        </is>
      </c>
      <c r="Q65" s="102" t="n"/>
      <c r="R65" s="102" t="n"/>
      <c r="S65" s="144" t="n"/>
      <c r="T65" s="102" t="n"/>
    </row>
    <row r="66">
      <c r="A66" s="102">
        <f>IF($B66="","","WO-"&amp;TEXT(ROW()-5,"0000"))</f>
        <v/>
      </c>
      <c r="B66" s="102" t="n"/>
      <c r="C66" s="141">
        <f>IFERROR(VLOOKUP($B66,'Anomaly Detection'!$A$6:$X$205,2,FALSE),"")</f>
        <v/>
      </c>
      <c r="D66" s="102">
        <f>IFERROR(VLOOKUP($B66,'Anomaly Detection'!$A$6:$X$205,3,FALSE),"")</f>
        <v/>
      </c>
      <c r="E66" s="102">
        <f>IFERROR(VLOOKUP($B66,'Anomaly Detection'!$A$6:$X$205,4,FALSE),"")</f>
        <v/>
      </c>
      <c r="F66" s="102">
        <f>IFERROR(VLOOKUP($B66,'Anomaly Detection'!$A$6:$X$205,5,FALSE),"")</f>
        <v/>
      </c>
      <c r="G66" s="102">
        <f>IFERROR(VLOOKUP($B66,'Anomaly Detection'!$A$6:$X$205,7,FALSE),"")</f>
        <v/>
      </c>
      <c r="H66" s="102">
        <f>IFERROR(VLOOKUP($B66,'Anomaly Detection'!$A$6:$X$205,8,FALSE),"")</f>
        <v/>
      </c>
      <c r="I66" s="102">
        <f>IFERROR(VLOOKUP($B66,'Anomaly Detection'!$A$6:$X$205,14,FALSE),"")</f>
        <v/>
      </c>
      <c r="J66" s="102">
        <f>IFERROR(VLOOKUP($B66,'Anomaly Detection'!$A$6:$X$205,15,FALSE),"")</f>
        <v/>
      </c>
      <c r="K66" s="102">
        <f>IFERROR(VLOOKUP($B66,'Anomaly Detection'!$A$6:$X$205,18,FALSE),"")</f>
        <v/>
      </c>
      <c r="L66" s="102" t="inlineStr">
        <is>
          <t>Open</t>
        </is>
      </c>
      <c r="M66" s="141">
        <f>IFERROR(VLOOKUP($B66,'Anomaly Detection'!$A$6:$X$205,20,FALSE),"")</f>
        <v/>
      </c>
      <c r="N66" s="141" t="n"/>
      <c r="O66" s="102">
        <f>IF($M66="","",IF(AND($L66&lt;&gt;"Closed",TODAY()&gt;$M66),"Overdue","Not overdue"))</f>
        <v/>
      </c>
      <c r="P66" s="102" t="inlineStr">
        <is>
          <t>Not classified</t>
        </is>
      </c>
      <c r="Q66" s="102" t="n"/>
      <c r="R66" s="102" t="n"/>
      <c r="S66" s="144" t="n"/>
      <c r="T66" s="102" t="n"/>
    </row>
    <row r="67">
      <c r="A67" s="102">
        <f>IF($B67="","","WO-"&amp;TEXT(ROW()-5,"0000"))</f>
        <v/>
      </c>
      <c r="B67" s="102" t="n"/>
      <c r="C67" s="141">
        <f>IFERROR(VLOOKUP($B67,'Anomaly Detection'!$A$6:$X$205,2,FALSE),"")</f>
        <v/>
      </c>
      <c r="D67" s="102">
        <f>IFERROR(VLOOKUP($B67,'Anomaly Detection'!$A$6:$X$205,3,FALSE),"")</f>
        <v/>
      </c>
      <c r="E67" s="102">
        <f>IFERROR(VLOOKUP($B67,'Anomaly Detection'!$A$6:$X$205,4,FALSE),"")</f>
        <v/>
      </c>
      <c r="F67" s="102">
        <f>IFERROR(VLOOKUP($B67,'Anomaly Detection'!$A$6:$X$205,5,FALSE),"")</f>
        <v/>
      </c>
      <c r="G67" s="102">
        <f>IFERROR(VLOOKUP($B67,'Anomaly Detection'!$A$6:$X$205,7,FALSE),"")</f>
        <v/>
      </c>
      <c r="H67" s="102">
        <f>IFERROR(VLOOKUP($B67,'Anomaly Detection'!$A$6:$X$205,8,FALSE),"")</f>
        <v/>
      </c>
      <c r="I67" s="102">
        <f>IFERROR(VLOOKUP($B67,'Anomaly Detection'!$A$6:$X$205,14,FALSE),"")</f>
        <v/>
      </c>
      <c r="J67" s="102">
        <f>IFERROR(VLOOKUP($B67,'Anomaly Detection'!$A$6:$X$205,15,FALSE),"")</f>
        <v/>
      </c>
      <c r="K67" s="102">
        <f>IFERROR(VLOOKUP($B67,'Anomaly Detection'!$A$6:$X$205,18,FALSE),"")</f>
        <v/>
      </c>
      <c r="L67" s="102" t="inlineStr">
        <is>
          <t>Open</t>
        </is>
      </c>
      <c r="M67" s="141">
        <f>IFERROR(VLOOKUP($B67,'Anomaly Detection'!$A$6:$X$205,20,FALSE),"")</f>
        <v/>
      </c>
      <c r="N67" s="141" t="n"/>
      <c r="O67" s="102">
        <f>IF($M67="","",IF(AND($L67&lt;&gt;"Closed",TODAY()&gt;$M67),"Overdue","Not overdue"))</f>
        <v/>
      </c>
      <c r="P67" s="102" t="inlineStr">
        <is>
          <t>Not classified</t>
        </is>
      </c>
      <c r="Q67" s="102" t="n"/>
      <c r="R67" s="102" t="n"/>
      <c r="S67" s="144" t="n"/>
      <c r="T67" s="102" t="n"/>
    </row>
    <row r="68">
      <c r="A68" s="102">
        <f>IF($B68="","","WO-"&amp;TEXT(ROW()-5,"0000"))</f>
        <v/>
      </c>
      <c r="B68" s="102" t="n"/>
      <c r="C68" s="141">
        <f>IFERROR(VLOOKUP($B68,'Anomaly Detection'!$A$6:$X$205,2,FALSE),"")</f>
        <v/>
      </c>
      <c r="D68" s="102">
        <f>IFERROR(VLOOKUP($B68,'Anomaly Detection'!$A$6:$X$205,3,FALSE),"")</f>
        <v/>
      </c>
      <c r="E68" s="102">
        <f>IFERROR(VLOOKUP($B68,'Anomaly Detection'!$A$6:$X$205,4,FALSE),"")</f>
        <v/>
      </c>
      <c r="F68" s="102">
        <f>IFERROR(VLOOKUP($B68,'Anomaly Detection'!$A$6:$X$205,5,FALSE),"")</f>
        <v/>
      </c>
      <c r="G68" s="102">
        <f>IFERROR(VLOOKUP($B68,'Anomaly Detection'!$A$6:$X$205,7,FALSE),"")</f>
        <v/>
      </c>
      <c r="H68" s="102">
        <f>IFERROR(VLOOKUP($B68,'Anomaly Detection'!$A$6:$X$205,8,FALSE),"")</f>
        <v/>
      </c>
      <c r="I68" s="102">
        <f>IFERROR(VLOOKUP($B68,'Anomaly Detection'!$A$6:$X$205,14,FALSE),"")</f>
        <v/>
      </c>
      <c r="J68" s="102">
        <f>IFERROR(VLOOKUP($B68,'Anomaly Detection'!$A$6:$X$205,15,FALSE),"")</f>
        <v/>
      </c>
      <c r="K68" s="102">
        <f>IFERROR(VLOOKUP($B68,'Anomaly Detection'!$A$6:$X$205,18,FALSE),"")</f>
        <v/>
      </c>
      <c r="L68" s="102" t="inlineStr">
        <is>
          <t>Open</t>
        </is>
      </c>
      <c r="M68" s="141">
        <f>IFERROR(VLOOKUP($B68,'Anomaly Detection'!$A$6:$X$205,20,FALSE),"")</f>
        <v/>
      </c>
      <c r="N68" s="141" t="n"/>
      <c r="O68" s="102">
        <f>IF($M68="","",IF(AND($L68&lt;&gt;"Closed",TODAY()&gt;$M68),"Overdue","Not overdue"))</f>
        <v/>
      </c>
      <c r="P68" s="102" t="inlineStr">
        <is>
          <t>Not classified</t>
        </is>
      </c>
      <c r="Q68" s="102" t="n"/>
      <c r="R68" s="102" t="n"/>
      <c r="S68" s="144" t="n"/>
      <c r="T68" s="102" t="n"/>
    </row>
    <row r="69">
      <c r="A69" s="102">
        <f>IF($B69="","","WO-"&amp;TEXT(ROW()-5,"0000"))</f>
        <v/>
      </c>
      <c r="B69" s="102" t="n"/>
      <c r="C69" s="141">
        <f>IFERROR(VLOOKUP($B69,'Anomaly Detection'!$A$6:$X$205,2,FALSE),"")</f>
        <v/>
      </c>
      <c r="D69" s="102">
        <f>IFERROR(VLOOKUP($B69,'Anomaly Detection'!$A$6:$X$205,3,FALSE),"")</f>
        <v/>
      </c>
      <c r="E69" s="102">
        <f>IFERROR(VLOOKUP($B69,'Anomaly Detection'!$A$6:$X$205,4,FALSE),"")</f>
        <v/>
      </c>
      <c r="F69" s="102">
        <f>IFERROR(VLOOKUP($B69,'Anomaly Detection'!$A$6:$X$205,5,FALSE),"")</f>
        <v/>
      </c>
      <c r="G69" s="102">
        <f>IFERROR(VLOOKUP($B69,'Anomaly Detection'!$A$6:$X$205,7,FALSE),"")</f>
        <v/>
      </c>
      <c r="H69" s="102">
        <f>IFERROR(VLOOKUP($B69,'Anomaly Detection'!$A$6:$X$205,8,FALSE),"")</f>
        <v/>
      </c>
      <c r="I69" s="102">
        <f>IFERROR(VLOOKUP($B69,'Anomaly Detection'!$A$6:$X$205,14,FALSE),"")</f>
        <v/>
      </c>
      <c r="J69" s="102">
        <f>IFERROR(VLOOKUP($B69,'Anomaly Detection'!$A$6:$X$205,15,FALSE),"")</f>
        <v/>
      </c>
      <c r="K69" s="102">
        <f>IFERROR(VLOOKUP($B69,'Anomaly Detection'!$A$6:$X$205,18,FALSE),"")</f>
        <v/>
      </c>
      <c r="L69" s="102" t="inlineStr">
        <is>
          <t>Open</t>
        </is>
      </c>
      <c r="M69" s="141">
        <f>IFERROR(VLOOKUP($B69,'Anomaly Detection'!$A$6:$X$205,20,FALSE),"")</f>
        <v/>
      </c>
      <c r="N69" s="141" t="n"/>
      <c r="O69" s="102">
        <f>IF($M69="","",IF(AND($L69&lt;&gt;"Closed",TODAY()&gt;$M69),"Overdue","Not overdue"))</f>
        <v/>
      </c>
      <c r="P69" s="102" t="inlineStr">
        <is>
          <t>Not classified</t>
        </is>
      </c>
      <c r="Q69" s="102" t="n"/>
      <c r="R69" s="102" t="n"/>
      <c r="S69" s="144" t="n"/>
      <c r="T69" s="102" t="n"/>
    </row>
    <row r="70">
      <c r="A70" s="102">
        <f>IF($B70="","","WO-"&amp;TEXT(ROW()-5,"0000"))</f>
        <v/>
      </c>
      <c r="B70" s="102" t="n"/>
      <c r="C70" s="141">
        <f>IFERROR(VLOOKUP($B70,'Anomaly Detection'!$A$6:$X$205,2,FALSE),"")</f>
        <v/>
      </c>
      <c r="D70" s="102">
        <f>IFERROR(VLOOKUP($B70,'Anomaly Detection'!$A$6:$X$205,3,FALSE),"")</f>
        <v/>
      </c>
      <c r="E70" s="102">
        <f>IFERROR(VLOOKUP($B70,'Anomaly Detection'!$A$6:$X$205,4,FALSE),"")</f>
        <v/>
      </c>
      <c r="F70" s="102">
        <f>IFERROR(VLOOKUP($B70,'Anomaly Detection'!$A$6:$X$205,5,FALSE),"")</f>
        <v/>
      </c>
      <c r="G70" s="102">
        <f>IFERROR(VLOOKUP($B70,'Anomaly Detection'!$A$6:$X$205,7,FALSE),"")</f>
        <v/>
      </c>
      <c r="H70" s="102">
        <f>IFERROR(VLOOKUP($B70,'Anomaly Detection'!$A$6:$X$205,8,FALSE),"")</f>
        <v/>
      </c>
      <c r="I70" s="102">
        <f>IFERROR(VLOOKUP($B70,'Anomaly Detection'!$A$6:$X$205,14,FALSE),"")</f>
        <v/>
      </c>
      <c r="J70" s="102">
        <f>IFERROR(VLOOKUP($B70,'Anomaly Detection'!$A$6:$X$205,15,FALSE),"")</f>
        <v/>
      </c>
      <c r="K70" s="102">
        <f>IFERROR(VLOOKUP($B70,'Anomaly Detection'!$A$6:$X$205,18,FALSE),"")</f>
        <v/>
      </c>
      <c r="L70" s="102" t="inlineStr">
        <is>
          <t>Open</t>
        </is>
      </c>
      <c r="M70" s="141">
        <f>IFERROR(VLOOKUP($B70,'Anomaly Detection'!$A$6:$X$205,20,FALSE),"")</f>
        <v/>
      </c>
      <c r="N70" s="141" t="n"/>
      <c r="O70" s="102">
        <f>IF($M70="","",IF(AND($L70&lt;&gt;"Closed",TODAY()&gt;$M70),"Overdue","Not overdue"))</f>
        <v/>
      </c>
      <c r="P70" s="102" t="inlineStr">
        <is>
          <t>Not classified</t>
        </is>
      </c>
      <c r="Q70" s="102" t="n"/>
      <c r="R70" s="102" t="n"/>
      <c r="S70" s="144" t="n"/>
      <c r="T70" s="102" t="n"/>
    </row>
    <row r="71">
      <c r="A71" s="102">
        <f>IF($B71="","","WO-"&amp;TEXT(ROW()-5,"0000"))</f>
        <v/>
      </c>
      <c r="B71" s="102" t="n"/>
      <c r="C71" s="141">
        <f>IFERROR(VLOOKUP($B71,'Anomaly Detection'!$A$6:$X$205,2,FALSE),"")</f>
        <v/>
      </c>
      <c r="D71" s="102">
        <f>IFERROR(VLOOKUP($B71,'Anomaly Detection'!$A$6:$X$205,3,FALSE),"")</f>
        <v/>
      </c>
      <c r="E71" s="102">
        <f>IFERROR(VLOOKUP($B71,'Anomaly Detection'!$A$6:$X$205,4,FALSE),"")</f>
        <v/>
      </c>
      <c r="F71" s="102">
        <f>IFERROR(VLOOKUP($B71,'Anomaly Detection'!$A$6:$X$205,5,FALSE),"")</f>
        <v/>
      </c>
      <c r="G71" s="102">
        <f>IFERROR(VLOOKUP($B71,'Anomaly Detection'!$A$6:$X$205,7,FALSE),"")</f>
        <v/>
      </c>
      <c r="H71" s="102">
        <f>IFERROR(VLOOKUP($B71,'Anomaly Detection'!$A$6:$X$205,8,FALSE),"")</f>
        <v/>
      </c>
      <c r="I71" s="102">
        <f>IFERROR(VLOOKUP($B71,'Anomaly Detection'!$A$6:$X$205,14,FALSE),"")</f>
        <v/>
      </c>
      <c r="J71" s="102">
        <f>IFERROR(VLOOKUP($B71,'Anomaly Detection'!$A$6:$X$205,15,FALSE),"")</f>
        <v/>
      </c>
      <c r="K71" s="102">
        <f>IFERROR(VLOOKUP($B71,'Anomaly Detection'!$A$6:$X$205,18,FALSE),"")</f>
        <v/>
      </c>
      <c r="L71" s="102" t="inlineStr">
        <is>
          <t>Open</t>
        </is>
      </c>
      <c r="M71" s="141">
        <f>IFERROR(VLOOKUP($B71,'Anomaly Detection'!$A$6:$X$205,20,FALSE),"")</f>
        <v/>
      </c>
      <c r="N71" s="141" t="n"/>
      <c r="O71" s="102">
        <f>IF($M71="","",IF(AND($L71&lt;&gt;"Closed",TODAY()&gt;$M71),"Overdue","Not overdue"))</f>
        <v/>
      </c>
      <c r="P71" s="102" t="inlineStr">
        <is>
          <t>Not classified</t>
        </is>
      </c>
      <c r="Q71" s="102" t="n"/>
      <c r="R71" s="102" t="n"/>
      <c r="S71" s="144" t="n"/>
      <c r="T71" s="102" t="n"/>
    </row>
    <row r="72">
      <c r="A72" s="102">
        <f>IF($B72="","","WO-"&amp;TEXT(ROW()-5,"0000"))</f>
        <v/>
      </c>
      <c r="B72" s="102" t="n"/>
      <c r="C72" s="141">
        <f>IFERROR(VLOOKUP($B72,'Anomaly Detection'!$A$6:$X$205,2,FALSE),"")</f>
        <v/>
      </c>
      <c r="D72" s="102">
        <f>IFERROR(VLOOKUP($B72,'Anomaly Detection'!$A$6:$X$205,3,FALSE),"")</f>
        <v/>
      </c>
      <c r="E72" s="102">
        <f>IFERROR(VLOOKUP($B72,'Anomaly Detection'!$A$6:$X$205,4,FALSE),"")</f>
        <v/>
      </c>
      <c r="F72" s="102">
        <f>IFERROR(VLOOKUP($B72,'Anomaly Detection'!$A$6:$X$205,5,FALSE),"")</f>
        <v/>
      </c>
      <c r="G72" s="102">
        <f>IFERROR(VLOOKUP($B72,'Anomaly Detection'!$A$6:$X$205,7,FALSE),"")</f>
        <v/>
      </c>
      <c r="H72" s="102">
        <f>IFERROR(VLOOKUP($B72,'Anomaly Detection'!$A$6:$X$205,8,FALSE),"")</f>
        <v/>
      </c>
      <c r="I72" s="102">
        <f>IFERROR(VLOOKUP($B72,'Anomaly Detection'!$A$6:$X$205,14,FALSE),"")</f>
        <v/>
      </c>
      <c r="J72" s="102">
        <f>IFERROR(VLOOKUP($B72,'Anomaly Detection'!$A$6:$X$205,15,FALSE),"")</f>
        <v/>
      </c>
      <c r="K72" s="102">
        <f>IFERROR(VLOOKUP($B72,'Anomaly Detection'!$A$6:$X$205,18,FALSE),"")</f>
        <v/>
      </c>
      <c r="L72" s="102" t="inlineStr">
        <is>
          <t>Open</t>
        </is>
      </c>
      <c r="M72" s="141">
        <f>IFERROR(VLOOKUP($B72,'Anomaly Detection'!$A$6:$X$205,20,FALSE),"")</f>
        <v/>
      </c>
      <c r="N72" s="141" t="n"/>
      <c r="O72" s="102">
        <f>IF($M72="","",IF(AND($L72&lt;&gt;"Closed",TODAY()&gt;$M72),"Overdue","Not overdue"))</f>
        <v/>
      </c>
      <c r="P72" s="102" t="inlineStr">
        <is>
          <t>Not classified</t>
        </is>
      </c>
      <c r="Q72" s="102" t="n"/>
      <c r="R72" s="102" t="n"/>
      <c r="S72" s="144" t="n"/>
      <c r="T72" s="102" t="n"/>
    </row>
    <row r="73">
      <c r="A73" s="102">
        <f>IF($B73="","","WO-"&amp;TEXT(ROW()-5,"0000"))</f>
        <v/>
      </c>
      <c r="B73" s="102" t="n"/>
      <c r="C73" s="141">
        <f>IFERROR(VLOOKUP($B73,'Anomaly Detection'!$A$6:$X$205,2,FALSE),"")</f>
        <v/>
      </c>
      <c r="D73" s="102">
        <f>IFERROR(VLOOKUP($B73,'Anomaly Detection'!$A$6:$X$205,3,FALSE),"")</f>
        <v/>
      </c>
      <c r="E73" s="102">
        <f>IFERROR(VLOOKUP($B73,'Anomaly Detection'!$A$6:$X$205,4,FALSE),"")</f>
        <v/>
      </c>
      <c r="F73" s="102">
        <f>IFERROR(VLOOKUP($B73,'Anomaly Detection'!$A$6:$X$205,5,FALSE),"")</f>
        <v/>
      </c>
      <c r="G73" s="102">
        <f>IFERROR(VLOOKUP($B73,'Anomaly Detection'!$A$6:$X$205,7,FALSE),"")</f>
        <v/>
      </c>
      <c r="H73" s="102">
        <f>IFERROR(VLOOKUP($B73,'Anomaly Detection'!$A$6:$X$205,8,FALSE),"")</f>
        <v/>
      </c>
      <c r="I73" s="102">
        <f>IFERROR(VLOOKUP($B73,'Anomaly Detection'!$A$6:$X$205,14,FALSE),"")</f>
        <v/>
      </c>
      <c r="J73" s="102">
        <f>IFERROR(VLOOKUP($B73,'Anomaly Detection'!$A$6:$X$205,15,FALSE),"")</f>
        <v/>
      </c>
      <c r="K73" s="102">
        <f>IFERROR(VLOOKUP($B73,'Anomaly Detection'!$A$6:$X$205,18,FALSE),"")</f>
        <v/>
      </c>
      <c r="L73" s="102" t="inlineStr">
        <is>
          <t>Open</t>
        </is>
      </c>
      <c r="M73" s="141">
        <f>IFERROR(VLOOKUP($B73,'Anomaly Detection'!$A$6:$X$205,20,FALSE),"")</f>
        <v/>
      </c>
      <c r="N73" s="141" t="n"/>
      <c r="O73" s="102">
        <f>IF($M73="","",IF(AND($L73&lt;&gt;"Closed",TODAY()&gt;$M73),"Overdue","Not overdue"))</f>
        <v/>
      </c>
      <c r="P73" s="102" t="inlineStr">
        <is>
          <t>Not classified</t>
        </is>
      </c>
      <c r="Q73" s="102" t="n"/>
      <c r="R73" s="102" t="n"/>
      <c r="S73" s="144" t="n"/>
      <c r="T73" s="102" t="n"/>
    </row>
    <row r="74">
      <c r="A74" s="102">
        <f>IF($B74="","","WO-"&amp;TEXT(ROW()-5,"0000"))</f>
        <v/>
      </c>
      <c r="B74" s="102" t="n"/>
      <c r="C74" s="141">
        <f>IFERROR(VLOOKUP($B74,'Anomaly Detection'!$A$6:$X$205,2,FALSE),"")</f>
        <v/>
      </c>
      <c r="D74" s="102">
        <f>IFERROR(VLOOKUP($B74,'Anomaly Detection'!$A$6:$X$205,3,FALSE),"")</f>
        <v/>
      </c>
      <c r="E74" s="102">
        <f>IFERROR(VLOOKUP($B74,'Anomaly Detection'!$A$6:$X$205,4,FALSE),"")</f>
        <v/>
      </c>
      <c r="F74" s="102">
        <f>IFERROR(VLOOKUP($B74,'Anomaly Detection'!$A$6:$X$205,5,FALSE),"")</f>
        <v/>
      </c>
      <c r="G74" s="102">
        <f>IFERROR(VLOOKUP($B74,'Anomaly Detection'!$A$6:$X$205,7,FALSE),"")</f>
        <v/>
      </c>
      <c r="H74" s="102">
        <f>IFERROR(VLOOKUP($B74,'Anomaly Detection'!$A$6:$X$205,8,FALSE),"")</f>
        <v/>
      </c>
      <c r="I74" s="102">
        <f>IFERROR(VLOOKUP($B74,'Anomaly Detection'!$A$6:$X$205,14,FALSE),"")</f>
        <v/>
      </c>
      <c r="J74" s="102">
        <f>IFERROR(VLOOKUP($B74,'Anomaly Detection'!$A$6:$X$205,15,FALSE),"")</f>
        <v/>
      </c>
      <c r="K74" s="102">
        <f>IFERROR(VLOOKUP($B74,'Anomaly Detection'!$A$6:$X$205,18,FALSE),"")</f>
        <v/>
      </c>
      <c r="L74" s="102" t="inlineStr">
        <is>
          <t>Open</t>
        </is>
      </c>
      <c r="M74" s="141">
        <f>IFERROR(VLOOKUP($B74,'Anomaly Detection'!$A$6:$X$205,20,FALSE),"")</f>
        <v/>
      </c>
      <c r="N74" s="141" t="n"/>
      <c r="O74" s="102">
        <f>IF($M74="","",IF(AND($L74&lt;&gt;"Closed",TODAY()&gt;$M74),"Overdue","Not overdue"))</f>
        <v/>
      </c>
      <c r="P74" s="102" t="inlineStr">
        <is>
          <t>Not classified</t>
        </is>
      </c>
      <c r="Q74" s="102" t="n"/>
      <c r="R74" s="102" t="n"/>
      <c r="S74" s="144" t="n"/>
      <c r="T74" s="102" t="n"/>
    </row>
    <row r="75">
      <c r="A75" s="102">
        <f>IF($B75="","","WO-"&amp;TEXT(ROW()-5,"0000"))</f>
        <v/>
      </c>
      <c r="B75" s="102" t="n"/>
      <c r="C75" s="141">
        <f>IFERROR(VLOOKUP($B75,'Anomaly Detection'!$A$6:$X$205,2,FALSE),"")</f>
        <v/>
      </c>
      <c r="D75" s="102">
        <f>IFERROR(VLOOKUP($B75,'Anomaly Detection'!$A$6:$X$205,3,FALSE),"")</f>
        <v/>
      </c>
      <c r="E75" s="102">
        <f>IFERROR(VLOOKUP($B75,'Anomaly Detection'!$A$6:$X$205,4,FALSE),"")</f>
        <v/>
      </c>
      <c r="F75" s="102">
        <f>IFERROR(VLOOKUP($B75,'Anomaly Detection'!$A$6:$X$205,5,FALSE),"")</f>
        <v/>
      </c>
      <c r="G75" s="102">
        <f>IFERROR(VLOOKUP($B75,'Anomaly Detection'!$A$6:$X$205,7,FALSE),"")</f>
        <v/>
      </c>
      <c r="H75" s="102">
        <f>IFERROR(VLOOKUP($B75,'Anomaly Detection'!$A$6:$X$205,8,FALSE),"")</f>
        <v/>
      </c>
      <c r="I75" s="102">
        <f>IFERROR(VLOOKUP($B75,'Anomaly Detection'!$A$6:$X$205,14,FALSE),"")</f>
        <v/>
      </c>
      <c r="J75" s="102">
        <f>IFERROR(VLOOKUP($B75,'Anomaly Detection'!$A$6:$X$205,15,FALSE),"")</f>
        <v/>
      </c>
      <c r="K75" s="102">
        <f>IFERROR(VLOOKUP($B75,'Anomaly Detection'!$A$6:$X$205,18,FALSE),"")</f>
        <v/>
      </c>
      <c r="L75" s="102" t="inlineStr">
        <is>
          <t>Open</t>
        </is>
      </c>
      <c r="M75" s="141">
        <f>IFERROR(VLOOKUP($B75,'Anomaly Detection'!$A$6:$X$205,20,FALSE),"")</f>
        <v/>
      </c>
      <c r="N75" s="141" t="n"/>
      <c r="O75" s="102">
        <f>IF($M75="","",IF(AND($L75&lt;&gt;"Closed",TODAY()&gt;$M75),"Overdue","Not overdue"))</f>
        <v/>
      </c>
      <c r="P75" s="102" t="inlineStr">
        <is>
          <t>Not classified</t>
        </is>
      </c>
      <c r="Q75" s="102" t="n"/>
      <c r="R75" s="102" t="n"/>
      <c r="S75" s="144" t="n"/>
      <c r="T75" s="102" t="n"/>
    </row>
    <row r="76">
      <c r="A76" s="102">
        <f>IF($B76="","","WO-"&amp;TEXT(ROW()-5,"0000"))</f>
        <v/>
      </c>
      <c r="B76" s="102" t="n"/>
      <c r="C76" s="141">
        <f>IFERROR(VLOOKUP($B76,'Anomaly Detection'!$A$6:$X$205,2,FALSE),"")</f>
        <v/>
      </c>
      <c r="D76" s="102">
        <f>IFERROR(VLOOKUP($B76,'Anomaly Detection'!$A$6:$X$205,3,FALSE),"")</f>
        <v/>
      </c>
      <c r="E76" s="102">
        <f>IFERROR(VLOOKUP($B76,'Anomaly Detection'!$A$6:$X$205,4,FALSE),"")</f>
        <v/>
      </c>
      <c r="F76" s="102">
        <f>IFERROR(VLOOKUP($B76,'Anomaly Detection'!$A$6:$X$205,5,FALSE),"")</f>
        <v/>
      </c>
      <c r="G76" s="102">
        <f>IFERROR(VLOOKUP($B76,'Anomaly Detection'!$A$6:$X$205,7,FALSE),"")</f>
        <v/>
      </c>
      <c r="H76" s="102">
        <f>IFERROR(VLOOKUP($B76,'Anomaly Detection'!$A$6:$X$205,8,FALSE),"")</f>
        <v/>
      </c>
      <c r="I76" s="102">
        <f>IFERROR(VLOOKUP($B76,'Anomaly Detection'!$A$6:$X$205,14,FALSE),"")</f>
        <v/>
      </c>
      <c r="J76" s="102">
        <f>IFERROR(VLOOKUP($B76,'Anomaly Detection'!$A$6:$X$205,15,FALSE),"")</f>
        <v/>
      </c>
      <c r="K76" s="102">
        <f>IFERROR(VLOOKUP($B76,'Anomaly Detection'!$A$6:$X$205,18,FALSE),"")</f>
        <v/>
      </c>
      <c r="L76" s="102" t="inlineStr">
        <is>
          <t>Open</t>
        </is>
      </c>
      <c r="M76" s="141">
        <f>IFERROR(VLOOKUP($B76,'Anomaly Detection'!$A$6:$X$205,20,FALSE),"")</f>
        <v/>
      </c>
      <c r="N76" s="141" t="n"/>
      <c r="O76" s="102">
        <f>IF($M76="","",IF(AND($L76&lt;&gt;"Closed",TODAY()&gt;$M76),"Overdue","Not overdue"))</f>
        <v/>
      </c>
      <c r="P76" s="102" t="inlineStr">
        <is>
          <t>Not classified</t>
        </is>
      </c>
      <c r="Q76" s="102" t="n"/>
      <c r="R76" s="102" t="n"/>
      <c r="S76" s="144" t="n"/>
      <c r="T76" s="102" t="n"/>
    </row>
    <row r="77">
      <c r="A77" s="102">
        <f>IF($B77="","","WO-"&amp;TEXT(ROW()-5,"0000"))</f>
        <v/>
      </c>
      <c r="B77" s="102" t="n"/>
      <c r="C77" s="141">
        <f>IFERROR(VLOOKUP($B77,'Anomaly Detection'!$A$6:$X$205,2,FALSE),"")</f>
        <v/>
      </c>
      <c r="D77" s="102">
        <f>IFERROR(VLOOKUP($B77,'Anomaly Detection'!$A$6:$X$205,3,FALSE),"")</f>
        <v/>
      </c>
      <c r="E77" s="102">
        <f>IFERROR(VLOOKUP($B77,'Anomaly Detection'!$A$6:$X$205,4,FALSE),"")</f>
        <v/>
      </c>
      <c r="F77" s="102">
        <f>IFERROR(VLOOKUP($B77,'Anomaly Detection'!$A$6:$X$205,5,FALSE),"")</f>
        <v/>
      </c>
      <c r="G77" s="102">
        <f>IFERROR(VLOOKUP($B77,'Anomaly Detection'!$A$6:$X$205,7,FALSE),"")</f>
        <v/>
      </c>
      <c r="H77" s="102">
        <f>IFERROR(VLOOKUP($B77,'Anomaly Detection'!$A$6:$X$205,8,FALSE),"")</f>
        <v/>
      </c>
      <c r="I77" s="102">
        <f>IFERROR(VLOOKUP($B77,'Anomaly Detection'!$A$6:$X$205,14,FALSE),"")</f>
        <v/>
      </c>
      <c r="J77" s="102">
        <f>IFERROR(VLOOKUP($B77,'Anomaly Detection'!$A$6:$X$205,15,FALSE),"")</f>
        <v/>
      </c>
      <c r="K77" s="102">
        <f>IFERROR(VLOOKUP($B77,'Anomaly Detection'!$A$6:$X$205,18,FALSE),"")</f>
        <v/>
      </c>
      <c r="L77" s="102" t="inlineStr">
        <is>
          <t>Open</t>
        </is>
      </c>
      <c r="M77" s="141">
        <f>IFERROR(VLOOKUP($B77,'Anomaly Detection'!$A$6:$X$205,20,FALSE),"")</f>
        <v/>
      </c>
      <c r="N77" s="141" t="n"/>
      <c r="O77" s="102">
        <f>IF($M77="","",IF(AND($L77&lt;&gt;"Closed",TODAY()&gt;$M77),"Overdue","Not overdue"))</f>
        <v/>
      </c>
      <c r="P77" s="102" t="inlineStr">
        <is>
          <t>Not classified</t>
        </is>
      </c>
      <c r="Q77" s="102" t="n"/>
      <c r="R77" s="102" t="n"/>
      <c r="S77" s="144" t="n"/>
      <c r="T77" s="102" t="n"/>
    </row>
    <row r="78">
      <c r="A78" s="102">
        <f>IF($B78="","","WO-"&amp;TEXT(ROW()-5,"0000"))</f>
        <v/>
      </c>
      <c r="B78" s="102" t="n"/>
      <c r="C78" s="141">
        <f>IFERROR(VLOOKUP($B78,'Anomaly Detection'!$A$6:$X$205,2,FALSE),"")</f>
        <v/>
      </c>
      <c r="D78" s="102">
        <f>IFERROR(VLOOKUP($B78,'Anomaly Detection'!$A$6:$X$205,3,FALSE),"")</f>
        <v/>
      </c>
      <c r="E78" s="102">
        <f>IFERROR(VLOOKUP($B78,'Anomaly Detection'!$A$6:$X$205,4,FALSE),"")</f>
        <v/>
      </c>
      <c r="F78" s="102">
        <f>IFERROR(VLOOKUP($B78,'Anomaly Detection'!$A$6:$X$205,5,FALSE),"")</f>
        <v/>
      </c>
      <c r="G78" s="102">
        <f>IFERROR(VLOOKUP($B78,'Anomaly Detection'!$A$6:$X$205,7,FALSE),"")</f>
        <v/>
      </c>
      <c r="H78" s="102">
        <f>IFERROR(VLOOKUP($B78,'Anomaly Detection'!$A$6:$X$205,8,FALSE),"")</f>
        <v/>
      </c>
      <c r="I78" s="102">
        <f>IFERROR(VLOOKUP($B78,'Anomaly Detection'!$A$6:$X$205,14,FALSE),"")</f>
        <v/>
      </c>
      <c r="J78" s="102">
        <f>IFERROR(VLOOKUP($B78,'Anomaly Detection'!$A$6:$X$205,15,FALSE),"")</f>
        <v/>
      </c>
      <c r="K78" s="102">
        <f>IFERROR(VLOOKUP($B78,'Anomaly Detection'!$A$6:$X$205,18,FALSE),"")</f>
        <v/>
      </c>
      <c r="L78" s="102" t="inlineStr">
        <is>
          <t>Open</t>
        </is>
      </c>
      <c r="M78" s="141">
        <f>IFERROR(VLOOKUP($B78,'Anomaly Detection'!$A$6:$X$205,20,FALSE),"")</f>
        <v/>
      </c>
      <c r="N78" s="141" t="n"/>
      <c r="O78" s="102">
        <f>IF($M78="","",IF(AND($L78&lt;&gt;"Closed",TODAY()&gt;$M78),"Overdue","Not overdue"))</f>
        <v/>
      </c>
      <c r="P78" s="102" t="inlineStr">
        <is>
          <t>Not classified</t>
        </is>
      </c>
      <c r="Q78" s="102" t="n"/>
      <c r="R78" s="102" t="n"/>
      <c r="S78" s="144" t="n"/>
      <c r="T78" s="102" t="n"/>
    </row>
    <row r="79">
      <c r="A79" s="102">
        <f>IF($B79="","","WO-"&amp;TEXT(ROW()-5,"0000"))</f>
        <v/>
      </c>
      <c r="B79" s="102" t="n"/>
      <c r="C79" s="141">
        <f>IFERROR(VLOOKUP($B79,'Anomaly Detection'!$A$6:$X$205,2,FALSE),"")</f>
        <v/>
      </c>
      <c r="D79" s="102">
        <f>IFERROR(VLOOKUP($B79,'Anomaly Detection'!$A$6:$X$205,3,FALSE),"")</f>
        <v/>
      </c>
      <c r="E79" s="102">
        <f>IFERROR(VLOOKUP($B79,'Anomaly Detection'!$A$6:$X$205,4,FALSE),"")</f>
        <v/>
      </c>
      <c r="F79" s="102">
        <f>IFERROR(VLOOKUP($B79,'Anomaly Detection'!$A$6:$X$205,5,FALSE),"")</f>
        <v/>
      </c>
      <c r="G79" s="102">
        <f>IFERROR(VLOOKUP($B79,'Anomaly Detection'!$A$6:$X$205,7,FALSE),"")</f>
        <v/>
      </c>
      <c r="H79" s="102">
        <f>IFERROR(VLOOKUP($B79,'Anomaly Detection'!$A$6:$X$205,8,FALSE),"")</f>
        <v/>
      </c>
      <c r="I79" s="102">
        <f>IFERROR(VLOOKUP($B79,'Anomaly Detection'!$A$6:$X$205,14,FALSE),"")</f>
        <v/>
      </c>
      <c r="J79" s="102">
        <f>IFERROR(VLOOKUP($B79,'Anomaly Detection'!$A$6:$X$205,15,FALSE),"")</f>
        <v/>
      </c>
      <c r="K79" s="102">
        <f>IFERROR(VLOOKUP($B79,'Anomaly Detection'!$A$6:$X$205,18,FALSE),"")</f>
        <v/>
      </c>
      <c r="L79" s="102" t="inlineStr">
        <is>
          <t>Open</t>
        </is>
      </c>
      <c r="M79" s="141">
        <f>IFERROR(VLOOKUP($B79,'Anomaly Detection'!$A$6:$X$205,20,FALSE),"")</f>
        <v/>
      </c>
      <c r="N79" s="141" t="n"/>
      <c r="O79" s="102">
        <f>IF($M79="","",IF(AND($L79&lt;&gt;"Closed",TODAY()&gt;$M79),"Overdue","Not overdue"))</f>
        <v/>
      </c>
      <c r="P79" s="102" t="inlineStr">
        <is>
          <t>Not classified</t>
        </is>
      </c>
      <c r="Q79" s="102" t="n"/>
      <c r="R79" s="102" t="n"/>
      <c r="S79" s="144" t="n"/>
      <c r="T79" s="102" t="n"/>
    </row>
    <row r="80">
      <c r="A80" s="102">
        <f>IF($B80="","","WO-"&amp;TEXT(ROW()-5,"0000"))</f>
        <v/>
      </c>
      <c r="B80" s="102" t="n"/>
      <c r="C80" s="141">
        <f>IFERROR(VLOOKUP($B80,'Anomaly Detection'!$A$6:$X$205,2,FALSE),"")</f>
        <v/>
      </c>
      <c r="D80" s="102">
        <f>IFERROR(VLOOKUP($B80,'Anomaly Detection'!$A$6:$X$205,3,FALSE),"")</f>
        <v/>
      </c>
      <c r="E80" s="102">
        <f>IFERROR(VLOOKUP($B80,'Anomaly Detection'!$A$6:$X$205,4,FALSE),"")</f>
        <v/>
      </c>
      <c r="F80" s="102">
        <f>IFERROR(VLOOKUP($B80,'Anomaly Detection'!$A$6:$X$205,5,FALSE),"")</f>
        <v/>
      </c>
      <c r="G80" s="102">
        <f>IFERROR(VLOOKUP($B80,'Anomaly Detection'!$A$6:$X$205,7,FALSE),"")</f>
        <v/>
      </c>
      <c r="H80" s="102">
        <f>IFERROR(VLOOKUP($B80,'Anomaly Detection'!$A$6:$X$205,8,FALSE),"")</f>
        <v/>
      </c>
      <c r="I80" s="102">
        <f>IFERROR(VLOOKUP($B80,'Anomaly Detection'!$A$6:$X$205,14,FALSE),"")</f>
        <v/>
      </c>
      <c r="J80" s="102">
        <f>IFERROR(VLOOKUP($B80,'Anomaly Detection'!$A$6:$X$205,15,FALSE),"")</f>
        <v/>
      </c>
      <c r="K80" s="102">
        <f>IFERROR(VLOOKUP($B80,'Anomaly Detection'!$A$6:$X$205,18,FALSE),"")</f>
        <v/>
      </c>
      <c r="L80" s="102" t="inlineStr">
        <is>
          <t>Open</t>
        </is>
      </c>
      <c r="M80" s="141">
        <f>IFERROR(VLOOKUP($B80,'Anomaly Detection'!$A$6:$X$205,20,FALSE),"")</f>
        <v/>
      </c>
      <c r="N80" s="141" t="n"/>
      <c r="O80" s="102">
        <f>IF($M80="","",IF(AND($L80&lt;&gt;"Closed",TODAY()&gt;$M80),"Overdue","Not overdue"))</f>
        <v/>
      </c>
      <c r="P80" s="102" t="inlineStr">
        <is>
          <t>Not classified</t>
        </is>
      </c>
      <c r="Q80" s="102" t="n"/>
      <c r="R80" s="102" t="n"/>
      <c r="S80" s="144" t="n"/>
      <c r="T80" s="102" t="n"/>
    </row>
    <row r="81">
      <c r="A81" s="102">
        <f>IF($B81="","","WO-"&amp;TEXT(ROW()-5,"0000"))</f>
        <v/>
      </c>
      <c r="B81" s="102" t="n"/>
      <c r="C81" s="141">
        <f>IFERROR(VLOOKUP($B81,'Anomaly Detection'!$A$6:$X$205,2,FALSE),"")</f>
        <v/>
      </c>
      <c r="D81" s="102">
        <f>IFERROR(VLOOKUP($B81,'Anomaly Detection'!$A$6:$X$205,3,FALSE),"")</f>
        <v/>
      </c>
      <c r="E81" s="102">
        <f>IFERROR(VLOOKUP($B81,'Anomaly Detection'!$A$6:$X$205,4,FALSE),"")</f>
        <v/>
      </c>
      <c r="F81" s="102">
        <f>IFERROR(VLOOKUP($B81,'Anomaly Detection'!$A$6:$X$205,5,FALSE),"")</f>
        <v/>
      </c>
      <c r="G81" s="102">
        <f>IFERROR(VLOOKUP($B81,'Anomaly Detection'!$A$6:$X$205,7,FALSE),"")</f>
        <v/>
      </c>
      <c r="H81" s="102">
        <f>IFERROR(VLOOKUP($B81,'Anomaly Detection'!$A$6:$X$205,8,FALSE),"")</f>
        <v/>
      </c>
      <c r="I81" s="102">
        <f>IFERROR(VLOOKUP($B81,'Anomaly Detection'!$A$6:$X$205,14,FALSE),"")</f>
        <v/>
      </c>
      <c r="J81" s="102">
        <f>IFERROR(VLOOKUP($B81,'Anomaly Detection'!$A$6:$X$205,15,FALSE),"")</f>
        <v/>
      </c>
      <c r="K81" s="102">
        <f>IFERROR(VLOOKUP($B81,'Anomaly Detection'!$A$6:$X$205,18,FALSE),"")</f>
        <v/>
      </c>
      <c r="L81" s="102" t="inlineStr">
        <is>
          <t>Open</t>
        </is>
      </c>
      <c r="M81" s="141">
        <f>IFERROR(VLOOKUP($B81,'Anomaly Detection'!$A$6:$X$205,20,FALSE),"")</f>
        <v/>
      </c>
      <c r="N81" s="141" t="n"/>
      <c r="O81" s="102">
        <f>IF($M81="","",IF(AND($L81&lt;&gt;"Closed",TODAY()&gt;$M81),"Overdue","Not overdue"))</f>
        <v/>
      </c>
      <c r="P81" s="102" t="inlineStr">
        <is>
          <t>Not classified</t>
        </is>
      </c>
      <c r="Q81" s="102" t="n"/>
      <c r="R81" s="102" t="n"/>
      <c r="S81" s="144" t="n"/>
      <c r="T81" s="102" t="n"/>
    </row>
    <row r="82">
      <c r="A82" s="102">
        <f>IF($B82="","","WO-"&amp;TEXT(ROW()-5,"0000"))</f>
        <v/>
      </c>
      <c r="B82" s="102" t="n"/>
      <c r="C82" s="141">
        <f>IFERROR(VLOOKUP($B82,'Anomaly Detection'!$A$6:$X$205,2,FALSE),"")</f>
        <v/>
      </c>
      <c r="D82" s="102">
        <f>IFERROR(VLOOKUP($B82,'Anomaly Detection'!$A$6:$X$205,3,FALSE),"")</f>
        <v/>
      </c>
      <c r="E82" s="102">
        <f>IFERROR(VLOOKUP($B82,'Anomaly Detection'!$A$6:$X$205,4,FALSE),"")</f>
        <v/>
      </c>
      <c r="F82" s="102">
        <f>IFERROR(VLOOKUP($B82,'Anomaly Detection'!$A$6:$X$205,5,FALSE),"")</f>
        <v/>
      </c>
      <c r="G82" s="102">
        <f>IFERROR(VLOOKUP($B82,'Anomaly Detection'!$A$6:$X$205,7,FALSE),"")</f>
        <v/>
      </c>
      <c r="H82" s="102">
        <f>IFERROR(VLOOKUP($B82,'Anomaly Detection'!$A$6:$X$205,8,FALSE),"")</f>
        <v/>
      </c>
      <c r="I82" s="102">
        <f>IFERROR(VLOOKUP($B82,'Anomaly Detection'!$A$6:$X$205,14,FALSE),"")</f>
        <v/>
      </c>
      <c r="J82" s="102">
        <f>IFERROR(VLOOKUP($B82,'Anomaly Detection'!$A$6:$X$205,15,FALSE),"")</f>
        <v/>
      </c>
      <c r="K82" s="102">
        <f>IFERROR(VLOOKUP($B82,'Anomaly Detection'!$A$6:$X$205,18,FALSE),"")</f>
        <v/>
      </c>
      <c r="L82" s="102" t="inlineStr">
        <is>
          <t>Open</t>
        </is>
      </c>
      <c r="M82" s="141">
        <f>IFERROR(VLOOKUP($B82,'Anomaly Detection'!$A$6:$X$205,20,FALSE),"")</f>
        <v/>
      </c>
      <c r="N82" s="141" t="n"/>
      <c r="O82" s="102">
        <f>IF($M82="","",IF(AND($L82&lt;&gt;"Closed",TODAY()&gt;$M82),"Overdue","Not overdue"))</f>
        <v/>
      </c>
      <c r="P82" s="102" t="inlineStr">
        <is>
          <t>Not classified</t>
        </is>
      </c>
      <c r="Q82" s="102" t="n"/>
      <c r="R82" s="102" t="n"/>
      <c r="S82" s="144" t="n"/>
      <c r="T82" s="102" t="n"/>
    </row>
    <row r="83">
      <c r="A83" s="102">
        <f>IF($B83="","","WO-"&amp;TEXT(ROW()-5,"0000"))</f>
        <v/>
      </c>
      <c r="B83" s="102" t="n"/>
      <c r="C83" s="141">
        <f>IFERROR(VLOOKUP($B83,'Anomaly Detection'!$A$6:$X$205,2,FALSE),"")</f>
        <v/>
      </c>
      <c r="D83" s="102">
        <f>IFERROR(VLOOKUP($B83,'Anomaly Detection'!$A$6:$X$205,3,FALSE),"")</f>
        <v/>
      </c>
      <c r="E83" s="102">
        <f>IFERROR(VLOOKUP($B83,'Anomaly Detection'!$A$6:$X$205,4,FALSE),"")</f>
        <v/>
      </c>
      <c r="F83" s="102">
        <f>IFERROR(VLOOKUP($B83,'Anomaly Detection'!$A$6:$X$205,5,FALSE),"")</f>
        <v/>
      </c>
      <c r="G83" s="102">
        <f>IFERROR(VLOOKUP($B83,'Anomaly Detection'!$A$6:$X$205,7,FALSE),"")</f>
        <v/>
      </c>
      <c r="H83" s="102">
        <f>IFERROR(VLOOKUP($B83,'Anomaly Detection'!$A$6:$X$205,8,FALSE),"")</f>
        <v/>
      </c>
      <c r="I83" s="102">
        <f>IFERROR(VLOOKUP($B83,'Anomaly Detection'!$A$6:$X$205,14,FALSE),"")</f>
        <v/>
      </c>
      <c r="J83" s="102">
        <f>IFERROR(VLOOKUP($B83,'Anomaly Detection'!$A$6:$X$205,15,FALSE),"")</f>
        <v/>
      </c>
      <c r="K83" s="102">
        <f>IFERROR(VLOOKUP($B83,'Anomaly Detection'!$A$6:$X$205,18,FALSE),"")</f>
        <v/>
      </c>
      <c r="L83" s="102" t="inlineStr">
        <is>
          <t>Open</t>
        </is>
      </c>
      <c r="M83" s="141">
        <f>IFERROR(VLOOKUP($B83,'Anomaly Detection'!$A$6:$X$205,20,FALSE),"")</f>
        <v/>
      </c>
      <c r="N83" s="141" t="n"/>
      <c r="O83" s="102">
        <f>IF($M83="","",IF(AND($L83&lt;&gt;"Closed",TODAY()&gt;$M83),"Overdue","Not overdue"))</f>
        <v/>
      </c>
      <c r="P83" s="102" t="inlineStr">
        <is>
          <t>Not classified</t>
        </is>
      </c>
      <c r="Q83" s="102" t="n"/>
      <c r="R83" s="102" t="n"/>
      <c r="S83" s="144" t="n"/>
      <c r="T83" s="102" t="n"/>
    </row>
    <row r="84">
      <c r="A84" s="102">
        <f>IF($B84="","","WO-"&amp;TEXT(ROW()-5,"0000"))</f>
        <v/>
      </c>
      <c r="B84" s="102" t="n"/>
      <c r="C84" s="141">
        <f>IFERROR(VLOOKUP($B84,'Anomaly Detection'!$A$6:$X$205,2,FALSE),"")</f>
        <v/>
      </c>
      <c r="D84" s="102">
        <f>IFERROR(VLOOKUP($B84,'Anomaly Detection'!$A$6:$X$205,3,FALSE),"")</f>
        <v/>
      </c>
      <c r="E84" s="102">
        <f>IFERROR(VLOOKUP($B84,'Anomaly Detection'!$A$6:$X$205,4,FALSE),"")</f>
        <v/>
      </c>
      <c r="F84" s="102">
        <f>IFERROR(VLOOKUP($B84,'Anomaly Detection'!$A$6:$X$205,5,FALSE),"")</f>
        <v/>
      </c>
      <c r="G84" s="102">
        <f>IFERROR(VLOOKUP($B84,'Anomaly Detection'!$A$6:$X$205,7,FALSE),"")</f>
        <v/>
      </c>
      <c r="H84" s="102">
        <f>IFERROR(VLOOKUP($B84,'Anomaly Detection'!$A$6:$X$205,8,FALSE),"")</f>
        <v/>
      </c>
      <c r="I84" s="102">
        <f>IFERROR(VLOOKUP($B84,'Anomaly Detection'!$A$6:$X$205,14,FALSE),"")</f>
        <v/>
      </c>
      <c r="J84" s="102">
        <f>IFERROR(VLOOKUP($B84,'Anomaly Detection'!$A$6:$X$205,15,FALSE),"")</f>
        <v/>
      </c>
      <c r="K84" s="102">
        <f>IFERROR(VLOOKUP($B84,'Anomaly Detection'!$A$6:$X$205,18,FALSE),"")</f>
        <v/>
      </c>
      <c r="L84" s="102" t="inlineStr">
        <is>
          <t>Open</t>
        </is>
      </c>
      <c r="M84" s="141">
        <f>IFERROR(VLOOKUP($B84,'Anomaly Detection'!$A$6:$X$205,20,FALSE),"")</f>
        <v/>
      </c>
      <c r="N84" s="141" t="n"/>
      <c r="O84" s="102">
        <f>IF($M84="","",IF(AND($L84&lt;&gt;"Closed",TODAY()&gt;$M84),"Overdue","Not overdue"))</f>
        <v/>
      </c>
      <c r="P84" s="102" t="inlineStr">
        <is>
          <t>Not classified</t>
        </is>
      </c>
      <c r="Q84" s="102" t="n"/>
      <c r="R84" s="102" t="n"/>
      <c r="S84" s="144" t="n"/>
      <c r="T84" s="102" t="n"/>
    </row>
    <row r="85">
      <c r="A85" s="102">
        <f>IF($B85="","","WO-"&amp;TEXT(ROW()-5,"0000"))</f>
        <v/>
      </c>
      <c r="B85" s="102" t="n"/>
      <c r="C85" s="141">
        <f>IFERROR(VLOOKUP($B85,'Anomaly Detection'!$A$6:$X$205,2,FALSE),"")</f>
        <v/>
      </c>
      <c r="D85" s="102">
        <f>IFERROR(VLOOKUP($B85,'Anomaly Detection'!$A$6:$X$205,3,FALSE),"")</f>
        <v/>
      </c>
      <c r="E85" s="102">
        <f>IFERROR(VLOOKUP($B85,'Anomaly Detection'!$A$6:$X$205,4,FALSE),"")</f>
        <v/>
      </c>
      <c r="F85" s="102">
        <f>IFERROR(VLOOKUP($B85,'Anomaly Detection'!$A$6:$X$205,5,FALSE),"")</f>
        <v/>
      </c>
      <c r="G85" s="102">
        <f>IFERROR(VLOOKUP($B85,'Anomaly Detection'!$A$6:$X$205,7,FALSE),"")</f>
        <v/>
      </c>
      <c r="H85" s="102">
        <f>IFERROR(VLOOKUP($B85,'Anomaly Detection'!$A$6:$X$205,8,FALSE),"")</f>
        <v/>
      </c>
      <c r="I85" s="102">
        <f>IFERROR(VLOOKUP($B85,'Anomaly Detection'!$A$6:$X$205,14,FALSE),"")</f>
        <v/>
      </c>
      <c r="J85" s="102">
        <f>IFERROR(VLOOKUP($B85,'Anomaly Detection'!$A$6:$X$205,15,FALSE),"")</f>
        <v/>
      </c>
      <c r="K85" s="102">
        <f>IFERROR(VLOOKUP($B85,'Anomaly Detection'!$A$6:$X$205,18,FALSE),"")</f>
        <v/>
      </c>
      <c r="L85" s="102" t="inlineStr">
        <is>
          <t>Open</t>
        </is>
      </c>
      <c r="M85" s="141">
        <f>IFERROR(VLOOKUP($B85,'Anomaly Detection'!$A$6:$X$205,20,FALSE),"")</f>
        <v/>
      </c>
      <c r="N85" s="141" t="n"/>
      <c r="O85" s="102">
        <f>IF($M85="","",IF(AND($L85&lt;&gt;"Closed",TODAY()&gt;$M85),"Overdue","Not overdue"))</f>
        <v/>
      </c>
      <c r="P85" s="102" t="inlineStr">
        <is>
          <t>Not classified</t>
        </is>
      </c>
      <c r="Q85" s="102" t="n"/>
      <c r="R85" s="102" t="n"/>
      <c r="S85" s="144" t="n"/>
      <c r="T85" s="102" t="n"/>
    </row>
    <row r="86">
      <c r="A86" s="102">
        <f>IF($B86="","","WO-"&amp;TEXT(ROW()-5,"0000"))</f>
        <v/>
      </c>
      <c r="B86" s="102" t="n"/>
      <c r="C86" s="141">
        <f>IFERROR(VLOOKUP($B86,'Anomaly Detection'!$A$6:$X$205,2,FALSE),"")</f>
        <v/>
      </c>
      <c r="D86" s="102">
        <f>IFERROR(VLOOKUP($B86,'Anomaly Detection'!$A$6:$X$205,3,FALSE),"")</f>
        <v/>
      </c>
      <c r="E86" s="102">
        <f>IFERROR(VLOOKUP($B86,'Anomaly Detection'!$A$6:$X$205,4,FALSE),"")</f>
        <v/>
      </c>
      <c r="F86" s="102">
        <f>IFERROR(VLOOKUP($B86,'Anomaly Detection'!$A$6:$X$205,5,FALSE),"")</f>
        <v/>
      </c>
      <c r="G86" s="102">
        <f>IFERROR(VLOOKUP($B86,'Anomaly Detection'!$A$6:$X$205,7,FALSE),"")</f>
        <v/>
      </c>
      <c r="H86" s="102">
        <f>IFERROR(VLOOKUP($B86,'Anomaly Detection'!$A$6:$X$205,8,FALSE),"")</f>
        <v/>
      </c>
      <c r="I86" s="102">
        <f>IFERROR(VLOOKUP($B86,'Anomaly Detection'!$A$6:$X$205,14,FALSE),"")</f>
        <v/>
      </c>
      <c r="J86" s="102">
        <f>IFERROR(VLOOKUP($B86,'Anomaly Detection'!$A$6:$X$205,15,FALSE),"")</f>
        <v/>
      </c>
      <c r="K86" s="102">
        <f>IFERROR(VLOOKUP($B86,'Anomaly Detection'!$A$6:$X$205,18,FALSE),"")</f>
        <v/>
      </c>
      <c r="L86" s="102" t="inlineStr">
        <is>
          <t>Open</t>
        </is>
      </c>
      <c r="M86" s="141">
        <f>IFERROR(VLOOKUP($B86,'Anomaly Detection'!$A$6:$X$205,20,FALSE),"")</f>
        <v/>
      </c>
      <c r="N86" s="141" t="n"/>
      <c r="O86" s="102">
        <f>IF($M86="","",IF(AND($L86&lt;&gt;"Closed",TODAY()&gt;$M86),"Overdue","Not overdue"))</f>
        <v/>
      </c>
      <c r="P86" s="102" t="inlineStr">
        <is>
          <t>Not classified</t>
        </is>
      </c>
      <c r="Q86" s="102" t="n"/>
      <c r="R86" s="102" t="n"/>
      <c r="S86" s="144" t="n"/>
      <c r="T86" s="102" t="n"/>
    </row>
    <row r="87">
      <c r="A87" s="102">
        <f>IF($B87="","","WO-"&amp;TEXT(ROW()-5,"0000"))</f>
        <v/>
      </c>
      <c r="B87" s="102" t="n"/>
      <c r="C87" s="141">
        <f>IFERROR(VLOOKUP($B87,'Anomaly Detection'!$A$6:$X$205,2,FALSE),"")</f>
        <v/>
      </c>
      <c r="D87" s="102">
        <f>IFERROR(VLOOKUP($B87,'Anomaly Detection'!$A$6:$X$205,3,FALSE),"")</f>
        <v/>
      </c>
      <c r="E87" s="102">
        <f>IFERROR(VLOOKUP($B87,'Anomaly Detection'!$A$6:$X$205,4,FALSE),"")</f>
        <v/>
      </c>
      <c r="F87" s="102">
        <f>IFERROR(VLOOKUP($B87,'Anomaly Detection'!$A$6:$X$205,5,FALSE),"")</f>
        <v/>
      </c>
      <c r="G87" s="102">
        <f>IFERROR(VLOOKUP($B87,'Anomaly Detection'!$A$6:$X$205,7,FALSE),"")</f>
        <v/>
      </c>
      <c r="H87" s="102">
        <f>IFERROR(VLOOKUP($B87,'Anomaly Detection'!$A$6:$X$205,8,FALSE),"")</f>
        <v/>
      </c>
      <c r="I87" s="102">
        <f>IFERROR(VLOOKUP($B87,'Anomaly Detection'!$A$6:$X$205,14,FALSE),"")</f>
        <v/>
      </c>
      <c r="J87" s="102">
        <f>IFERROR(VLOOKUP($B87,'Anomaly Detection'!$A$6:$X$205,15,FALSE),"")</f>
        <v/>
      </c>
      <c r="K87" s="102">
        <f>IFERROR(VLOOKUP($B87,'Anomaly Detection'!$A$6:$X$205,18,FALSE),"")</f>
        <v/>
      </c>
      <c r="L87" s="102" t="inlineStr">
        <is>
          <t>Open</t>
        </is>
      </c>
      <c r="M87" s="141">
        <f>IFERROR(VLOOKUP($B87,'Anomaly Detection'!$A$6:$X$205,20,FALSE),"")</f>
        <v/>
      </c>
      <c r="N87" s="141" t="n"/>
      <c r="O87" s="102">
        <f>IF($M87="","",IF(AND($L87&lt;&gt;"Closed",TODAY()&gt;$M87),"Overdue","Not overdue"))</f>
        <v/>
      </c>
      <c r="P87" s="102" t="inlineStr">
        <is>
          <t>Not classified</t>
        </is>
      </c>
      <c r="Q87" s="102" t="n"/>
      <c r="R87" s="102" t="n"/>
      <c r="S87" s="144" t="n"/>
      <c r="T87" s="102" t="n"/>
    </row>
    <row r="88">
      <c r="A88" s="102">
        <f>IF($B88="","","WO-"&amp;TEXT(ROW()-5,"0000"))</f>
        <v/>
      </c>
      <c r="B88" s="102" t="n"/>
      <c r="C88" s="141">
        <f>IFERROR(VLOOKUP($B88,'Anomaly Detection'!$A$6:$X$205,2,FALSE),"")</f>
        <v/>
      </c>
      <c r="D88" s="102">
        <f>IFERROR(VLOOKUP($B88,'Anomaly Detection'!$A$6:$X$205,3,FALSE),"")</f>
        <v/>
      </c>
      <c r="E88" s="102">
        <f>IFERROR(VLOOKUP($B88,'Anomaly Detection'!$A$6:$X$205,4,FALSE),"")</f>
        <v/>
      </c>
      <c r="F88" s="102">
        <f>IFERROR(VLOOKUP($B88,'Anomaly Detection'!$A$6:$X$205,5,FALSE),"")</f>
        <v/>
      </c>
      <c r="G88" s="102">
        <f>IFERROR(VLOOKUP($B88,'Anomaly Detection'!$A$6:$X$205,7,FALSE),"")</f>
        <v/>
      </c>
      <c r="H88" s="102">
        <f>IFERROR(VLOOKUP($B88,'Anomaly Detection'!$A$6:$X$205,8,FALSE),"")</f>
        <v/>
      </c>
      <c r="I88" s="102">
        <f>IFERROR(VLOOKUP($B88,'Anomaly Detection'!$A$6:$X$205,14,FALSE),"")</f>
        <v/>
      </c>
      <c r="J88" s="102">
        <f>IFERROR(VLOOKUP($B88,'Anomaly Detection'!$A$6:$X$205,15,FALSE),"")</f>
        <v/>
      </c>
      <c r="K88" s="102">
        <f>IFERROR(VLOOKUP($B88,'Anomaly Detection'!$A$6:$X$205,18,FALSE),"")</f>
        <v/>
      </c>
      <c r="L88" s="102" t="inlineStr">
        <is>
          <t>Open</t>
        </is>
      </c>
      <c r="M88" s="141">
        <f>IFERROR(VLOOKUP($B88,'Anomaly Detection'!$A$6:$X$205,20,FALSE),"")</f>
        <v/>
      </c>
      <c r="N88" s="141" t="n"/>
      <c r="O88" s="102">
        <f>IF($M88="","",IF(AND($L88&lt;&gt;"Closed",TODAY()&gt;$M88),"Overdue","Not overdue"))</f>
        <v/>
      </c>
      <c r="P88" s="102" t="inlineStr">
        <is>
          <t>Not classified</t>
        </is>
      </c>
      <c r="Q88" s="102" t="n"/>
      <c r="R88" s="102" t="n"/>
      <c r="S88" s="144" t="n"/>
      <c r="T88" s="102" t="n"/>
    </row>
    <row r="89">
      <c r="A89" s="102">
        <f>IF($B89="","","WO-"&amp;TEXT(ROW()-5,"0000"))</f>
        <v/>
      </c>
      <c r="B89" s="102" t="n"/>
      <c r="C89" s="141">
        <f>IFERROR(VLOOKUP($B89,'Anomaly Detection'!$A$6:$X$205,2,FALSE),"")</f>
        <v/>
      </c>
      <c r="D89" s="102">
        <f>IFERROR(VLOOKUP($B89,'Anomaly Detection'!$A$6:$X$205,3,FALSE),"")</f>
        <v/>
      </c>
      <c r="E89" s="102">
        <f>IFERROR(VLOOKUP($B89,'Anomaly Detection'!$A$6:$X$205,4,FALSE),"")</f>
        <v/>
      </c>
      <c r="F89" s="102">
        <f>IFERROR(VLOOKUP($B89,'Anomaly Detection'!$A$6:$X$205,5,FALSE),"")</f>
        <v/>
      </c>
      <c r="G89" s="102">
        <f>IFERROR(VLOOKUP($B89,'Anomaly Detection'!$A$6:$X$205,7,FALSE),"")</f>
        <v/>
      </c>
      <c r="H89" s="102">
        <f>IFERROR(VLOOKUP($B89,'Anomaly Detection'!$A$6:$X$205,8,FALSE),"")</f>
        <v/>
      </c>
      <c r="I89" s="102">
        <f>IFERROR(VLOOKUP($B89,'Anomaly Detection'!$A$6:$X$205,14,FALSE),"")</f>
        <v/>
      </c>
      <c r="J89" s="102">
        <f>IFERROR(VLOOKUP($B89,'Anomaly Detection'!$A$6:$X$205,15,FALSE),"")</f>
        <v/>
      </c>
      <c r="K89" s="102">
        <f>IFERROR(VLOOKUP($B89,'Anomaly Detection'!$A$6:$X$205,18,FALSE),"")</f>
        <v/>
      </c>
      <c r="L89" s="102" t="inlineStr">
        <is>
          <t>Open</t>
        </is>
      </c>
      <c r="M89" s="141">
        <f>IFERROR(VLOOKUP($B89,'Anomaly Detection'!$A$6:$X$205,20,FALSE),"")</f>
        <v/>
      </c>
      <c r="N89" s="141" t="n"/>
      <c r="O89" s="102">
        <f>IF($M89="","",IF(AND($L89&lt;&gt;"Closed",TODAY()&gt;$M89),"Overdue","Not overdue"))</f>
        <v/>
      </c>
      <c r="P89" s="102" t="inlineStr">
        <is>
          <t>Not classified</t>
        </is>
      </c>
      <c r="Q89" s="102" t="n"/>
      <c r="R89" s="102" t="n"/>
      <c r="S89" s="144" t="n"/>
      <c r="T89" s="102" t="n"/>
    </row>
    <row r="90">
      <c r="A90" s="102">
        <f>IF($B90="","","WO-"&amp;TEXT(ROW()-5,"0000"))</f>
        <v/>
      </c>
      <c r="B90" s="102" t="n"/>
      <c r="C90" s="141">
        <f>IFERROR(VLOOKUP($B90,'Anomaly Detection'!$A$6:$X$205,2,FALSE),"")</f>
        <v/>
      </c>
      <c r="D90" s="102">
        <f>IFERROR(VLOOKUP($B90,'Anomaly Detection'!$A$6:$X$205,3,FALSE),"")</f>
        <v/>
      </c>
      <c r="E90" s="102">
        <f>IFERROR(VLOOKUP($B90,'Anomaly Detection'!$A$6:$X$205,4,FALSE),"")</f>
        <v/>
      </c>
      <c r="F90" s="102">
        <f>IFERROR(VLOOKUP($B90,'Anomaly Detection'!$A$6:$X$205,5,FALSE),"")</f>
        <v/>
      </c>
      <c r="G90" s="102">
        <f>IFERROR(VLOOKUP($B90,'Anomaly Detection'!$A$6:$X$205,7,FALSE),"")</f>
        <v/>
      </c>
      <c r="H90" s="102">
        <f>IFERROR(VLOOKUP($B90,'Anomaly Detection'!$A$6:$X$205,8,FALSE),"")</f>
        <v/>
      </c>
      <c r="I90" s="102">
        <f>IFERROR(VLOOKUP($B90,'Anomaly Detection'!$A$6:$X$205,14,FALSE),"")</f>
        <v/>
      </c>
      <c r="J90" s="102">
        <f>IFERROR(VLOOKUP($B90,'Anomaly Detection'!$A$6:$X$205,15,FALSE),"")</f>
        <v/>
      </c>
      <c r="K90" s="102">
        <f>IFERROR(VLOOKUP($B90,'Anomaly Detection'!$A$6:$X$205,18,FALSE),"")</f>
        <v/>
      </c>
      <c r="L90" s="102" t="inlineStr">
        <is>
          <t>Open</t>
        </is>
      </c>
      <c r="M90" s="141">
        <f>IFERROR(VLOOKUP($B90,'Anomaly Detection'!$A$6:$X$205,20,FALSE),"")</f>
        <v/>
      </c>
      <c r="N90" s="141" t="n"/>
      <c r="O90" s="102">
        <f>IF($M90="","",IF(AND($L90&lt;&gt;"Closed",TODAY()&gt;$M90),"Overdue","Not overdue"))</f>
        <v/>
      </c>
      <c r="P90" s="102" t="inlineStr">
        <is>
          <t>Not classified</t>
        </is>
      </c>
      <c r="Q90" s="102" t="n"/>
      <c r="R90" s="102" t="n"/>
      <c r="S90" s="144" t="n"/>
      <c r="T90" s="102" t="n"/>
    </row>
    <row r="91">
      <c r="A91" s="102">
        <f>IF($B91="","","WO-"&amp;TEXT(ROW()-5,"0000"))</f>
        <v/>
      </c>
      <c r="B91" s="102" t="n"/>
      <c r="C91" s="141">
        <f>IFERROR(VLOOKUP($B91,'Anomaly Detection'!$A$6:$X$205,2,FALSE),"")</f>
        <v/>
      </c>
      <c r="D91" s="102">
        <f>IFERROR(VLOOKUP($B91,'Anomaly Detection'!$A$6:$X$205,3,FALSE),"")</f>
        <v/>
      </c>
      <c r="E91" s="102">
        <f>IFERROR(VLOOKUP($B91,'Anomaly Detection'!$A$6:$X$205,4,FALSE),"")</f>
        <v/>
      </c>
      <c r="F91" s="102">
        <f>IFERROR(VLOOKUP($B91,'Anomaly Detection'!$A$6:$X$205,5,FALSE),"")</f>
        <v/>
      </c>
      <c r="G91" s="102">
        <f>IFERROR(VLOOKUP($B91,'Anomaly Detection'!$A$6:$X$205,7,FALSE),"")</f>
        <v/>
      </c>
      <c r="H91" s="102">
        <f>IFERROR(VLOOKUP($B91,'Anomaly Detection'!$A$6:$X$205,8,FALSE),"")</f>
        <v/>
      </c>
      <c r="I91" s="102">
        <f>IFERROR(VLOOKUP($B91,'Anomaly Detection'!$A$6:$X$205,14,FALSE),"")</f>
        <v/>
      </c>
      <c r="J91" s="102">
        <f>IFERROR(VLOOKUP($B91,'Anomaly Detection'!$A$6:$X$205,15,FALSE),"")</f>
        <v/>
      </c>
      <c r="K91" s="102">
        <f>IFERROR(VLOOKUP($B91,'Anomaly Detection'!$A$6:$X$205,18,FALSE),"")</f>
        <v/>
      </c>
      <c r="L91" s="102" t="inlineStr">
        <is>
          <t>Open</t>
        </is>
      </c>
      <c r="M91" s="141">
        <f>IFERROR(VLOOKUP($B91,'Anomaly Detection'!$A$6:$X$205,20,FALSE),"")</f>
        <v/>
      </c>
      <c r="N91" s="141" t="n"/>
      <c r="O91" s="102">
        <f>IF($M91="","",IF(AND($L91&lt;&gt;"Closed",TODAY()&gt;$M91),"Overdue","Not overdue"))</f>
        <v/>
      </c>
      <c r="P91" s="102" t="inlineStr">
        <is>
          <t>Not classified</t>
        </is>
      </c>
      <c r="Q91" s="102" t="n"/>
      <c r="R91" s="102" t="n"/>
      <c r="S91" s="144" t="n"/>
      <c r="T91" s="102" t="n"/>
    </row>
    <row r="92">
      <c r="A92" s="102">
        <f>IF($B92="","","WO-"&amp;TEXT(ROW()-5,"0000"))</f>
        <v/>
      </c>
      <c r="B92" s="102" t="n"/>
      <c r="C92" s="141">
        <f>IFERROR(VLOOKUP($B92,'Anomaly Detection'!$A$6:$X$205,2,FALSE),"")</f>
        <v/>
      </c>
      <c r="D92" s="102">
        <f>IFERROR(VLOOKUP($B92,'Anomaly Detection'!$A$6:$X$205,3,FALSE),"")</f>
        <v/>
      </c>
      <c r="E92" s="102">
        <f>IFERROR(VLOOKUP($B92,'Anomaly Detection'!$A$6:$X$205,4,FALSE),"")</f>
        <v/>
      </c>
      <c r="F92" s="102">
        <f>IFERROR(VLOOKUP($B92,'Anomaly Detection'!$A$6:$X$205,5,FALSE),"")</f>
        <v/>
      </c>
      <c r="G92" s="102">
        <f>IFERROR(VLOOKUP($B92,'Anomaly Detection'!$A$6:$X$205,7,FALSE),"")</f>
        <v/>
      </c>
      <c r="H92" s="102">
        <f>IFERROR(VLOOKUP($B92,'Anomaly Detection'!$A$6:$X$205,8,FALSE),"")</f>
        <v/>
      </c>
      <c r="I92" s="102">
        <f>IFERROR(VLOOKUP($B92,'Anomaly Detection'!$A$6:$X$205,14,FALSE),"")</f>
        <v/>
      </c>
      <c r="J92" s="102">
        <f>IFERROR(VLOOKUP($B92,'Anomaly Detection'!$A$6:$X$205,15,FALSE),"")</f>
        <v/>
      </c>
      <c r="K92" s="102">
        <f>IFERROR(VLOOKUP($B92,'Anomaly Detection'!$A$6:$X$205,18,FALSE),"")</f>
        <v/>
      </c>
      <c r="L92" s="102" t="inlineStr">
        <is>
          <t>Open</t>
        </is>
      </c>
      <c r="M92" s="141">
        <f>IFERROR(VLOOKUP($B92,'Anomaly Detection'!$A$6:$X$205,20,FALSE),"")</f>
        <v/>
      </c>
      <c r="N92" s="141" t="n"/>
      <c r="O92" s="102">
        <f>IF($M92="","",IF(AND($L92&lt;&gt;"Closed",TODAY()&gt;$M92),"Overdue","Not overdue"))</f>
        <v/>
      </c>
      <c r="P92" s="102" t="inlineStr">
        <is>
          <t>Not classified</t>
        </is>
      </c>
      <c r="Q92" s="102" t="n"/>
      <c r="R92" s="102" t="n"/>
      <c r="S92" s="144" t="n"/>
      <c r="T92" s="102" t="n"/>
    </row>
    <row r="93">
      <c r="A93" s="102">
        <f>IF($B93="","","WO-"&amp;TEXT(ROW()-5,"0000"))</f>
        <v/>
      </c>
      <c r="B93" s="102" t="n"/>
      <c r="C93" s="141">
        <f>IFERROR(VLOOKUP($B93,'Anomaly Detection'!$A$6:$X$205,2,FALSE),"")</f>
        <v/>
      </c>
      <c r="D93" s="102">
        <f>IFERROR(VLOOKUP($B93,'Anomaly Detection'!$A$6:$X$205,3,FALSE),"")</f>
        <v/>
      </c>
      <c r="E93" s="102">
        <f>IFERROR(VLOOKUP($B93,'Anomaly Detection'!$A$6:$X$205,4,FALSE),"")</f>
        <v/>
      </c>
      <c r="F93" s="102">
        <f>IFERROR(VLOOKUP($B93,'Anomaly Detection'!$A$6:$X$205,5,FALSE),"")</f>
        <v/>
      </c>
      <c r="G93" s="102">
        <f>IFERROR(VLOOKUP($B93,'Anomaly Detection'!$A$6:$X$205,7,FALSE),"")</f>
        <v/>
      </c>
      <c r="H93" s="102">
        <f>IFERROR(VLOOKUP($B93,'Anomaly Detection'!$A$6:$X$205,8,FALSE),"")</f>
        <v/>
      </c>
      <c r="I93" s="102">
        <f>IFERROR(VLOOKUP($B93,'Anomaly Detection'!$A$6:$X$205,14,FALSE),"")</f>
        <v/>
      </c>
      <c r="J93" s="102">
        <f>IFERROR(VLOOKUP($B93,'Anomaly Detection'!$A$6:$X$205,15,FALSE),"")</f>
        <v/>
      </c>
      <c r="K93" s="102">
        <f>IFERROR(VLOOKUP($B93,'Anomaly Detection'!$A$6:$X$205,18,FALSE),"")</f>
        <v/>
      </c>
      <c r="L93" s="102" t="inlineStr">
        <is>
          <t>Open</t>
        </is>
      </c>
      <c r="M93" s="141">
        <f>IFERROR(VLOOKUP($B93,'Anomaly Detection'!$A$6:$X$205,20,FALSE),"")</f>
        <v/>
      </c>
      <c r="N93" s="141" t="n"/>
      <c r="O93" s="102">
        <f>IF($M93="","",IF(AND($L93&lt;&gt;"Closed",TODAY()&gt;$M93),"Overdue","Not overdue"))</f>
        <v/>
      </c>
      <c r="P93" s="102" t="inlineStr">
        <is>
          <t>Not classified</t>
        </is>
      </c>
      <c r="Q93" s="102" t="n"/>
      <c r="R93" s="102" t="n"/>
      <c r="S93" s="144" t="n"/>
      <c r="T93" s="102" t="n"/>
    </row>
    <row r="94">
      <c r="A94" s="102">
        <f>IF($B94="","","WO-"&amp;TEXT(ROW()-5,"0000"))</f>
        <v/>
      </c>
      <c r="B94" s="102" t="n"/>
      <c r="C94" s="141">
        <f>IFERROR(VLOOKUP($B94,'Anomaly Detection'!$A$6:$X$205,2,FALSE),"")</f>
        <v/>
      </c>
      <c r="D94" s="102">
        <f>IFERROR(VLOOKUP($B94,'Anomaly Detection'!$A$6:$X$205,3,FALSE),"")</f>
        <v/>
      </c>
      <c r="E94" s="102">
        <f>IFERROR(VLOOKUP($B94,'Anomaly Detection'!$A$6:$X$205,4,FALSE),"")</f>
        <v/>
      </c>
      <c r="F94" s="102">
        <f>IFERROR(VLOOKUP($B94,'Anomaly Detection'!$A$6:$X$205,5,FALSE),"")</f>
        <v/>
      </c>
      <c r="G94" s="102">
        <f>IFERROR(VLOOKUP($B94,'Anomaly Detection'!$A$6:$X$205,7,FALSE),"")</f>
        <v/>
      </c>
      <c r="H94" s="102">
        <f>IFERROR(VLOOKUP($B94,'Anomaly Detection'!$A$6:$X$205,8,FALSE),"")</f>
        <v/>
      </c>
      <c r="I94" s="102">
        <f>IFERROR(VLOOKUP($B94,'Anomaly Detection'!$A$6:$X$205,14,FALSE),"")</f>
        <v/>
      </c>
      <c r="J94" s="102">
        <f>IFERROR(VLOOKUP($B94,'Anomaly Detection'!$A$6:$X$205,15,FALSE),"")</f>
        <v/>
      </c>
      <c r="K94" s="102">
        <f>IFERROR(VLOOKUP($B94,'Anomaly Detection'!$A$6:$X$205,18,FALSE),"")</f>
        <v/>
      </c>
      <c r="L94" s="102" t="inlineStr">
        <is>
          <t>Open</t>
        </is>
      </c>
      <c r="M94" s="141">
        <f>IFERROR(VLOOKUP($B94,'Anomaly Detection'!$A$6:$X$205,20,FALSE),"")</f>
        <v/>
      </c>
      <c r="N94" s="141" t="n"/>
      <c r="O94" s="102">
        <f>IF($M94="","",IF(AND($L94&lt;&gt;"Closed",TODAY()&gt;$M94),"Overdue","Not overdue"))</f>
        <v/>
      </c>
      <c r="P94" s="102" t="inlineStr">
        <is>
          <t>Not classified</t>
        </is>
      </c>
      <c r="Q94" s="102" t="n"/>
      <c r="R94" s="102" t="n"/>
      <c r="S94" s="144" t="n"/>
      <c r="T94" s="102" t="n"/>
    </row>
    <row r="95">
      <c r="A95" s="102">
        <f>IF($B95="","","WO-"&amp;TEXT(ROW()-5,"0000"))</f>
        <v/>
      </c>
      <c r="B95" s="102" t="n"/>
      <c r="C95" s="141">
        <f>IFERROR(VLOOKUP($B95,'Anomaly Detection'!$A$6:$X$205,2,FALSE),"")</f>
        <v/>
      </c>
      <c r="D95" s="102">
        <f>IFERROR(VLOOKUP($B95,'Anomaly Detection'!$A$6:$X$205,3,FALSE),"")</f>
        <v/>
      </c>
      <c r="E95" s="102">
        <f>IFERROR(VLOOKUP($B95,'Anomaly Detection'!$A$6:$X$205,4,FALSE),"")</f>
        <v/>
      </c>
      <c r="F95" s="102">
        <f>IFERROR(VLOOKUP($B95,'Anomaly Detection'!$A$6:$X$205,5,FALSE),"")</f>
        <v/>
      </c>
      <c r="G95" s="102">
        <f>IFERROR(VLOOKUP($B95,'Anomaly Detection'!$A$6:$X$205,7,FALSE),"")</f>
        <v/>
      </c>
      <c r="H95" s="102">
        <f>IFERROR(VLOOKUP($B95,'Anomaly Detection'!$A$6:$X$205,8,FALSE),"")</f>
        <v/>
      </c>
      <c r="I95" s="102">
        <f>IFERROR(VLOOKUP($B95,'Anomaly Detection'!$A$6:$X$205,14,FALSE),"")</f>
        <v/>
      </c>
      <c r="J95" s="102">
        <f>IFERROR(VLOOKUP($B95,'Anomaly Detection'!$A$6:$X$205,15,FALSE),"")</f>
        <v/>
      </c>
      <c r="K95" s="102">
        <f>IFERROR(VLOOKUP($B95,'Anomaly Detection'!$A$6:$X$205,18,FALSE),"")</f>
        <v/>
      </c>
      <c r="L95" s="102" t="inlineStr">
        <is>
          <t>Open</t>
        </is>
      </c>
      <c r="M95" s="141">
        <f>IFERROR(VLOOKUP($B95,'Anomaly Detection'!$A$6:$X$205,20,FALSE),"")</f>
        <v/>
      </c>
      <c r="N95" s="141" t="n"/>
      <c r="O95" s="102">
        <f>IF($M95="","",IF(AND($L95&lt;&gt;"Closed",TODAY()&gt;$M95),"Overdue","Not overdue"))</f>
        <v/>
      </c>
      <c r="P95" s="102" t="inlineStr">
        <is>
          <t>Not classified</t>
        </is>
      </c>
      <c r="Q95" s="102" t="n"/>
      <c r="R95" s="102" t="n"/>
      <c r="S95" s="144" t="n"/>
      <c r="T95" s="102" t="n"/>
    </row>
    <row r="96">
      <c r="A96" s="102">
        <f>IF($B96="","","WO-"&amp;TEXT(ROW()-5,"0000"))</f>
        <v/>
      </c>
      <c r="B96" s="102" t="n"/>
      <c r="C96" s="141">
        <f>IFERROR(VLOOKUP($B96,'Anomaly Detection'!$A$6:$X$205,2,FALSE),"")</f>
        <v/>
      </c>
      <c r="D96" s="102">
        <f>IFERROR(VLOOKUP($B96,'Anomaly Detection'!$A$6:$X$205,3,FALSE),"")</f>
        <v/>
      </c>
      <c r="E96" s="102">
        <f>IFERROR(VLOOKUP($B96,'Anomaly Detection'!$A$6:$X$205,4,FALSE),"")</f>
        <v/>
      </c>
      <c r="F96" s="102">
        <f>IFERROR(VLOOKUP($B96,'Anomaly Detection'!$A$6:$X$205,5,FALSE),"")</f>
        <v/>
      </c>
      <c r="G96" s="102">
        <f>IFERROR(VLOOKUP($B96,'Anomaly Detection'!$A$6:$X$205,7,FALSE),"")</f>
        <v/>
      </c>
      <c r="H96" s="102">
        <f>IFERROR(VLOOKUP($B96,'Anomaly Detection'!$A$6:$X$205,8,FALSE),"")</f>
        <v/>
      </c>
      <c r="I96" s="102">
        <f>IFERROR(VLOOKUP($B96,'Anomaly Detection'!$A$6:$X$205,14,FALSE),"")</f>
        <v/>
      </c>
      <c r="J96" s="102">
        <f>IFERROR(VLOOKUP($B96,'Anomaly Detection'!$A$6:$X$205,15,FALSE),"")</f>
        <v/>
      </c>
      <c r="K96" s="102">
        <f>IFERROR(VLOOKUP($B96,'Anomaly Detection'!$A$6:$X$205,18,FALSE),"")</f>
        <v/>
      </c>
      <c r="L96" s="102" t="inlineStr">
        <is>
          <t>Open</t>
        </is>
      </c>
      <c r="M96" s="141">
        <f>IFERROR(VLOOKUP($B96,'Anomaly Detection'!$A$6:$X$205,20,FALSE),"")</f>
        <v/>
      </c>
      <c r="N96" s="141" t="n"/>
      <c r="O96" s="102">
        <f>IF($M96="","",IF(AND($L96&lt;&gt;"Closed",TODAY()&gt;$M96),"Overdue","Not overdue"))</f>
        <v/>
      </c>
      <c r="P96" s="102" t="inlineStr">
        <is>
          <t>Not classified</t>
        </is>
      </c>
      <c r="Q96" s="102" t="n"/>
      <c r="R96" s="102" t="n"/>
      <c r="S96" s="144" t="n"/>
      <c r="T96" s="102" t="n"/>
    </row>
    <row r="97">
      <c r="A97" s="102">
        <f>IF($B97="","","WO-"&amp;TEXT(ROW()-5,"0000"))</f>
        <v/>
      </c>
      <c r="B97" s="102" t="n"/>
      <c r="C97" s="141">
        <f>IFERROR(VLOOKUP($B97,'Anomaly Detection'!$A$6:$X$205,2,FALSE),"")</f>
        <v/>
      </c>
      <c r="D97" s="102">
        <f>IFERROR(VLOOKUP($B97,'Anomaly Detection'!$A$6:$X$205,3,FALSE),"")</f>
        <v/>
      </c>
      <c r="E97" s="102">
        <f>IFERROR(VLOOKUP($B97,'Anomaly Detection'!$A$6:$X$205,4,FALSE),"")</f>
        <v/>
      </c>
      <c r="F97" s="102">
        <f>IFERROR(VLOOKUP($B97,'Anomaly Detection'!$A$6:$X$205,5,FALSE),"")</f>
        <v/>
      </c>
      <c r="G97" s="102">
        <f>IFERROR(VLOOKUP($B97,'Anomaly Detection'!$A$6:$X$205,7,FALSE),"")</f>
        <v/>
      </c>
      <c r="H97" s="102">
        <f>IFERROR(VLOOKUP($B97,'Anomaly Detection'!$A$6:$X$205,8,FALSE),"")</f>
        <v/>
      </c>
      <c r="I97" s="102">
        <f>IFERROR(VLOOKUP($B97,'Anomaly Detection'!$A$6:$X$205,14,FALSE),"")</f>
        <v/>
      </c>
      <c r="J97" s="102">
        <f>IFERROR(VLOOKUP($B97,'Anomaly Detection'!$A$6:$X$205,15,FALSE),"")</f>
        <v/>
      </c>
      <c r="K97" s="102">
        <f>IFERROR(VLOOKUP($B97,'Anomaly Detection'!$A$6:$X$205,18,FALSE),"")</f>
        <v/>
      </c>
      <c r="L97" s="102" t="inlineStr">
        <is>
          <t>Open</t>
        </is>
      </c>
      <c r="M97" s="141">
        <f>IFERROR(VLOOKUP($B97,'Anomaly Detection'!$A$6:$X$205,20,FALSE),"")</f>
        <v/>
      </c>
      <c r="N97" s="141" t="n"/>
      <c r="O97" s="102">
        <f>IF($M97="","",IF(AND($L97&lt;&gt;"Closed",TODAY()&gt;$M97),"Overdue","Not overdue"))</f>
        <v/>
      </c>
      <c r="P97" s="102" t="inlineStr">
        <is>
          <t>Not classified</t>
        </is>
      </c>
      <c r="Q97" s="102" t="n"/>
      <c r="R97" s="102" t="n"/>
      <c r="S97" s="144" t="n"/>
      <c r="T97" s="102" t="n"/>
    </row>
    <row r="98">
      <c r="A98" s="102">
        <f>IF($B98="","","WO-"&amp;TEXT(ROW()-5,"0000"))</f>
        <v/>
      </c>
      <c r="B98" s="102" t="n"/>
      <c r="C98" s="141">
        <f>IFERROR(VLOOKUP($B98,'Anomaly Detection'!$A$6:$X$205,2,FALSE),"")</f>
        <v/>
      </c>
      <c r="D98" s="102">
        <f>IFERROR(VLOOKUP($B98,'Anomaly Detection'!$A$6:$X$205,3,FALSE),"")</f>
        <v/>
      </c>
      <c r="E98" s="102">
        <f>IFERROR(VLOOKUP($B98,'Anomaly Detection'!$A$6:$X$205,4,FALSE),"")</f>
        <v/>
      </c>
      <c r="F98" s="102">
        <f>IFERROR(VLOOKUP($B98,'Anomaly Detection'!$A$6:$X$205,5,FALSE),"")</f>
        <v/>
      </c>
      <c r="G98" s="102">
        <f>IFERROR(VLOOKUP($B98,'Anomaly Detection'!$A$6:$X$205,7,FALSE),"")</f>
        <v/>
      </c>
      <c r="H98" s="102">
        <f>IFERROR(VLOOKUP($B98,'Anomaly Detection'!$A$6:$X$205,8,FALSE),"")</f>
        <v/>
      </c>
      <c r="I98" s="102">
        <f>IFERROR(VLOOKUP($B98,'Anomaly Detection'!$A$6:$X$205,14,FALSE),"")</f>
        <v/>
      </c>
      <c r="J98" s="102">
        <f>IFERROR(VLOOKUP($B98,'Anomaly Detection'!$A$6:$X$205,15,FALSE),"")</f>
        <v/>
      </c>
      <c r="K98" s="102">
        <f>IFERROR(VLOOKUP($B98,'Anomaly Detection'!$A$6:$X$205,18,FALSE),"")</f>
        <v/>
      </c>
      <c r="L98" s="102" t="inlineStr">
        <is>
          <t>Open</t>
        </is>
      </c>
      <c r="M98" s="141">
        <f>IFERROR(VLOOKUP($B98,'Anomaly Detection'!$A$6:$X$205,20,FALSE),"")</f>
        <v/>
      </c>
      <c r="N98" s="141" t="n"/>
      <c r="O98" s="102">
        <f>IF($M98="","",IF(AND($L98&lt;&gt;"Closed",TODAY()&gt;$M98),"Overdue","Not overdue"))</f>
        <v/>
      </c>
      <c r="P98" s="102" t="inlineStr">
        <is>
          <t>Not classified</t>
        </is>
      </c>
      <c r="Q98" s="102" t="n"/>
      <c r="R98" s="102" t="n"/>
      <c r="S98" s="144" t="n"/>
      <c r="T98" s="102" t="n"/>
    </row>
    <row r="99">
      <c r="A99" s="102">
        <f>IF($B99="","","WO-"&amp;TEXT(ROW()-5,"0000"))</f>
        <v/>
      </c>
      <c r="B99" s="102" t="n"/>
      <c r="C99" s="141">
        <f>IFERROR(VLOOKUP($B99,'Anomaly Detection'!$A$6:$X$205,2,FALSE),"")</f>
        <v/>
      </c>
      <c r="D99" s="102">
        <f>IFERROR(VLOOKUP($B99,'Anomaly Detection'!$A$6:$X$205,3,FALSE),"")</f>
        <v/>
      </c>
      <c r="E99" s="102">
        <f>IFERROR(VLOOKUP($B99,'Anomaly Detection'!$A$6:$X$205,4,FALSE),"")</f>
        <v/>
      </c>
      <c r="F99" s="102">
        <f>IFERROR(VLOOKUP($B99,'Anomaly Detection'!$A$6:$X$205,5,FALSE),"")</f>
        <v/>
      </c>
      <c r="G99" s="102">
        <f>IFERROR(VLOOKUP($B99,'Anomaly Detection'!$A$6:$X$205,7,FALSE),"")</f>
        <v/>
      </c>
      <c r="H99" s="102">
        <f>IFERROR(VLOOKUP($B99,'Anomaly Detection'!$A$6:$X$205,8,FALSE),"")</f>
        <v/>
      </c>
      <c r="I99" s="102">
        <f>IFERROR(VLOOKUP($B99,'Anomaly Detection'!$A$6:$X$205,14,FALSE),"")</f>
        <v/>
      </c>
      <c r="J99" s="102">
        <f>IFERROR(VLOOKUP($B99,'Anomaly Detection'!$A$6:$X$205,15,FALSE),"")</f>
        <v/>
      </c>
      <c r="K99" s="102">
        <f>IFERROR(VLOOKUP($B99,'Anomaly Detection'!$A$6:$X$205,18,FALSE),"")</f>
        <v/>
      </c>
      <c r="L99" s="102" t="inlineStr">
        <is>
          <t>Open</t>
        </is>
      </c>
      <c r="M99" s="141">
        <f>IFERROR(VLOOKUP($B99,'Anomaly Detection'!$A$6:$X$205,20,FALSE),"")</f>
        <v/>
      </c>
      <c r="N99" s="141" t="n"/>
      <c r="O99" s="102">
        <f>IF($M99="","",IF(AND($L99&lt;&gt;"Closed",TODAY()&gt;$M99),"Overdue","Not overdue"))</f>
        <v/>
      </c>
      <c r="P99" s="102" t="inlineStr">
        <is>
          <t>Not classified</t>
        </is>
      </c>
      <c r="Q99" s="102" t="n"/>
      <c r="R99" s="102" t="n"/>
      <c r="S99" s="144" t="n"/>
      <c r="T99" s="102" t="n"/>
    </row>
    <row r="100">
      <c r="A100" s="102">
        <f>IF($B100="","","WO-"&amp;TEXT(ROW()-5,"0000"))</f>
        <v/>
      </c>
      <c r="B100" s="102" t="n"/>
      <c r="C100" s="141">
        <f>IFERROR(VLOOKUP($B100,'Anomaly Detection'!$A$6:$X$205,2,FALSE),"")</f>
        <v/>
      </c>
      <c r="D100" s="102">
        <f>IFERROR(VLOOKUP($B100,'Anomaly Detection'!$A$6:$X$205,3,FALSE),"")</f>
        <v/>
      </c>
      <c r="E100" s="102">
        <f>IFERROR(VLOOKUP($B100,'Anomaly Detection'!$A$6:$X$205,4,FALSE),"")</f>
        <v/>
      </c>
      <c r="F100" s="102">
        <f>IFERROR(VLOOKUP($B100,'Anomaly Detection'!$A$6:$X$205,5,FALSE),"")</f>
        <v/>
      </c>
      <c r="G100" s="102">
        <f>IFERROR(VLOOKUP($B100,'Anomaly Detection'!$A$6:$X$205,7,FALSE),"")</f>
        <v/>
      </c>
      <c r="H100" s="102">
        <f>IFERROR(VLOOKUP($B100,'Anomaly Detection'!$A$6:$X$205,8,FALSE),"")</f>
        <v/>
      </c>
      <c r="I100" s="102">
        <f>IFERROR(VLOOKUP($B100,'Anomaly Detection'!$A$6:$X$205,14,FALSE),"")</f>
        <v/>
      </c>
      <c r="J100" s="102">
        <f>IFERROR(VLOOKUP($B100,'Anomaly Detection'!$A$6:$X$205,15,FALSE),"")</f>
        <v/>
      </c>
      <c r="K100" s="102">
        <f>IFERROR(VLOOKUP($B100,'Anomaly Detection'!$A$6:$X$205,18,FALSE),"")</f>
        <v/>
      </c>
      <c r="L100" s="102" t="inlineStr">
        <is>
          <t>Open</t>
        </is>
      </c>
      <c r="M100" s="141">
        <f>IFERROR(VLOOKUP($B100,'Anomaly Detection'!$A$6:$X$205,20,FALSE),"")</f>
        <v/>
      </c>
      <c r="N100" s="141" t="n"/>
      <c r="O100" s="102">
        <f>IF($M100="","",IF(AND($L100&lt;&gt;"Closed",TODAY()&gt;$M100),"Overdue","Not overdue"))</f>
        <v/>
      </c>
      <c r="P100" s="102" t="inlineStr">
        <is>
          <t>Not classified</t>
        </is>
      </c>
      <c r="Q100" s="102" t="n"/>
      <c r="R100" s="102" t="n"/>
      <c r="S100" s="144" t="n"/>
      <c r="T100" s="102" t="n"/>
    </row>
    <row r="101">
      <c r="A101" s="102">
        <f>IF($B101="","","WO-"&amp;TEXT(ROW()-5,"0000"))</f>
        <v/>
      </c>
      <c r="B101" s="102" t="n"/>
      <c r="C101" s="141">
        <f>IFERROR(VLOOKUP($B101,'Anomaly Detection'!$A$6:$X$205,2,FALSE),"")</f>
        <v/>
      </c>
      <c r="D101" s="102">
        <f>IFERROR(VLOOKUP($B101,'Anomaly Detection'!$A$6:$X$205,3,FALSE),"")</f>
        <v/>
      </c>
      <c r="E101" s="102">
        <f>IFERROR(VLOOKUP($B101,'Anomaly Detection'!$A$6:$X$205,4,FALSE),"")</f>
        <v/>
      </c>
      <c r="F101" s="102">
        <f>IFERROR(VLOOKUP($B101,'Anomaly Detection'!$A$6:$X$205,5,FALSE),"")</f>
        <v/>
      </c>
      <c r="G101" s="102">
        <f>IFERROR(VLOOKUP($B101,'Anomaly Detection'!$A$6:$X$205,7,FALSE),"")</f>
        <v/>
      </c>
      <c r="H101" s="102">
        <f>IFERROR(VLOOKUP($B101,'Anomaly Detection'!$A$6:$X$205,8,FALSE),"")</f>
        <v/>
      </c>
      <c r="I101" s="102">
        <f>IFERROR(VLOOKUP($B101,'Anomaly Detection'!$A$6:$X$205,14,FALSE),"")</f>
        <v/>
      </c>
      <c r="J101" s="102">
        <f>IFERROR(VLOOKUP($B101,'Anomaly Detection'!$A$6:$X$205,15,FALSE),"")</f>
        <v/>
      </c>
      <c r="K101" s="102">
        <f>IFERROR(VLOOKUP($B101,'Anomaly Detection'!$A$6:$X$205,18,FALSE),"")</f>
        <v/>
      </c>
      <c r="L101" s="102" t="inlineStr">
        <is>
          <t>Open</t>
        </is>
      </c>
      <c r="M101" s="141">
        <f>IFERROR(VLOOKUP($B101,'Anomaly Detection'!$A$6:$X$205,20,FALSE),"")</f>
        <v/>
      </c>
      <c r="N101" s="141" t="n"/>
      <c r="O101" s="102">
        <f>IF($M101="","",IF(AND($L101&lt;&gt;"Closed",TODAY()&gt;$M101),"Overdue","Not overdue"))</f>
        <v/>
      </c>
      <c r="P101" s="102" t="inlineStr">
        <is>
          <t>Not classified</t>
        </is>
      </c>
      <c r="Q101" s="102" t="n"/>
      <c r="R101" s="102" t="n"/>
      <c r="S101" s="144" t="n"/>
      <c r="T101" s="102" t="n"/>
    </row>
    <row r="102">
      <c r="A102" s="102">
        <f>IF($B102="","","WO-"&amp;TEXT(ROW()-5,"0000"))</f>
        <v/>
      </c>
      <c r="B102" s="102" t="n"/>
      <c r="C102" s="141">
        <f>IFERROR(VLOOKUP($B102,'Anomaly Detection'!$A$6:$X$205,2,FALSE),"")</f>
        <v/>
      </c>
      <c r="D102" s="102">
        <f>IFERROR(VLOOKUP($B102,'Anomaly Detection'!$A$6:$X$205,3,FALSE),"")</f>
        <v/>
      </c>
      <c r="E102" s="102">
        <f>IFERROR(VLOOKUP($B102,'Anomaly Detection'!$A$6:$X$205,4,FALSE),"")</f>
        <v/>
      </c>
      <c r="F102" s="102">
        <f>IFERROR(VLOOKUP($B102,'Anomaly Detection'!$A$6:$X$205,5,FALSE),"")</f>
        <v/>
      </c>
      <c r="G102" s="102">
        <f>IFERROR(VLOOKUP($B102,'Anomaly Detection'!$A$6:$X$205,7,FALSE),"")</f>
        <v/>
      </c>
      <c r="H102" s="102">
        <f>IFERROR(VLOOKUP($B102,'Anomaly Detection'!$A$6:$X$205,8,FALSE),"")</f>
        <v/>
      </c>
      <c r="I102" s="102">
        <f>IFERROR(VLOOKUP($B102,'Anomaly Detection'!$A$6:$X$205,14,FALSE),"")</f>
        <v/>
      </c>
      <c r="J102" s="102">
        <f>IFERROR(VLOOKUP($B102,'Anomaly Detection'!$A$6:$X$205,15,FALSE),"")</f>
        <v/>
      </c>
      <c r="K102" s="102">
        <f>IFERROR(VLOOKUP($B102,'Anomaly Detection'!$A$6:$X$205,18,FALSE),"")</f>
        <v/>
      </c>
      <c r="L102" s="102" t="inlineStr">
        <is>
          <t>Open</t>
        </is>
      </c>
      <c r="M102" s="141">
        <f>IFERROR(VLOOKUP($B102,'Anomaly Detection'!$A$6:$X$205,20,FALSE),"")</f>
        <v/>
      </c>
      <c r="N102" s="141" t="n"/>
      <c r="O102" s="102">
        <f>IF($M102="","",IF(AND($L102&lt;&gt;"Closed",TODAY()&gt;$M102),"Overdue","Not overdue"))</f>
        <v/>
      </c>
      <c r="P102" s="102" t="inlineStr">
        <is>
          <t>Not classified</t>
        </is>
      </c>
      <c r="Q102" s="102" t="n"/>
      <c r="R102" s="102" t="n"/>
      <c r="S102" s="144" t="n"/>
      <c r="T102" s="102" t="n"/>
    </row>
    <row r="103">
      <c r="A103" s="102">
        <f>IF($B103="","","WO-"&amp;TEXT(ROW()-5,"0000"))</f>
        <v/>
      </c>
      <c r="B103" s="102" t="n"/>
      <c r="C103" s="141">
        <f>IFERROR(VLOOKUP($B103,'Anomaly Detection'!$A$6:$X$205,2,FALSE),"")</f>
        <v/>
      </c>
      <c r="D103" s="102">
        <f>IFERROR(VLOOKUP($B103,'Anomaly Detection'!$A$6:$X$205,3,FALSE),"")</f>
        <v/>
      </c>
      <c r="E103" s="102">
        <f>IFERROR(VLOOKUP($B103,'Anomaly Detection'!$A$6:$X$205,4,FALSE),"")</f>
        <v/>
      </c>
      <c r="F103" s="102">
        <f>IFERROR(VLOOKUP($B103,'Anomaly Detection'!$A$6:$X$205,5,FALSE),"")</f>
        <v/>
      </c>
      <c r="G103" s="102">
        <f>IFERROR(VLOOKUP($B103,'Anomaly Detection'!$A$6:$X$205,7,FALSE),"")</f>
        <v/>
      </c>
      <c r="H103" s="102">
        <f>IFERROR(VLOOKUP($B103,'Anomaly Detection'!$A$6:$X$205,8,FALSE),"")</f>
        <v/>
      </c>
      <c r="I103" s="102">
        <f>IFERROR(VLOOKUP($B103,'Anomaly Detection'!$A$6:$X$205,14,FALSE),"")</f>
        <v/>
      </c>
      <c r="J103" s="102">
        <f>IFERROR(VLOOKUP($B103,'Anomaly Detection'!$A$6:$X$205,15,FALSE),"")</f>
        <v/>
      </c>
      <c r="K103" s="102">
        <f>IFERROR(VLOOKUP($B103,'Anomaly Detection'!$A$6:$X$205,18,FALSE),"")</f>
        <v/>
      </c>
      <c r="L103" s="102" t="inlineStr">
        <is>
          <t>Open</t>
        </is>
      </c>
      <c r="M103" s="141">
        <f>IFERROR(VLOOKUP($B103,'Anomaly Detection'!$A$6:$X$205,20,FALSE),"")</f>
        <v/>
      </c>
      <c r="N103" s="141" t="n"/>
      <c r="O103" s="102">
        <f>IF($M103="","",IF(AND($L103&lt;&gt;"Closed",TODAY()&gt;$M103),"Overdue","Not overdue"))</f>
        <v/>
      </c>
      <c r="P103" s="102" t="inlineStr">
        <is>
          <t>Not classified</t>
        </is>
      </c>
      <c r="Q103" s="102" t="n"/>
      <c r="R103" s="102" t="n"/>
      <c r="S103" s="144" t="n"/>
      <c r="T103" s="102" t="n"/>
    </row>
    <row r="104">
      <c r="A104" s="102">
        <f>IF($B104="","","WO-"&amp;TEXT(ROW()-5,"0000"))</f>
        <v/>
      </c>
      <c r="B104" s="102" t="n"/>
      <c r="C104" s="141">
        <f>IFERROR(VLOOKUP($B104,'Anomaly Detection'!$A$6:$X$205,2,FALSE),"")</f>
        <v/>
      </c>
      <c r="D104" s="102">
        <f>IFERROR(VLOOKUP($B104,'Anomaly Detection'!$A$6:$X$205,3,FALSE),"")</f>
        <v/>
      </c>
      <c r="E104" s="102">
        <f>IFERROR(VLOOKUP($B104,'Anomaly Detection'!$A$6:$X$205,4,FALSE),"")</f>
        <v/>
      </c>
      <c r="F104" s="102">
        <f>IFERROR(VLOOKUP($B104,'Anomaly Detection'!$A$6:$X$205,5,FALSE),"")</f>
        <v/>
      </c>
      <c r="G104" s="102">
        <f>IFERROR(VLOOKUP($B104,'Anomaly Detection'!$A$6:$X$205,7,FALSE),"")</f>
        <v/>
      </c>
      <c r="H104" s="102">
        <f>IFERROR(VLOOKUP($B104,'Anomaly Detection'!$A$6:$X$205,8,FALSE),"")</f>
        <v/>
      </c>
      <c r="I104" s="102">
        <f>IFERROR(VLOOKUP($B104,'Anomaly Detection'!$A$6:$X$205,14,FALSE),"")</f>
        <v/>
      </c>
      <c r="J104" s="102">
        <f>IFERROR(VLOOKUP($B104,'Anomaly Detection'!$A$6:$X$205,15,FALSE),"")</f>
        <v/>
      </c>
      <c r="K104" s="102">
        <f>IFERROR(VLOOKUP($B104,'Anomaly Detection'!$A$6:$X$205,18,FALSE),"")</f>
        <v/>
      </c>
      <c r="L104" s="102" t="inlineStr">
        <is>
          <t>Open</t>
        </is>
      </c>
      <c r="M104" s="141">
        <f>IFERROR(VLOOKUP($B104,'Anomaly Detection'!$A$6:$X$205,20,FALSE),"")</f>
        <v/>
      </c>
      <c r="N104" s="141" t="n"/>
      <c r="O104" s="102">
        <f>IF($M104="","",IF(AND($L104&lt;&gt;"Closed",TODAY()&gt;$M104),"Overdue","Not overdue"))</f>
        <v/>
      </c>
      <c r="P104" s="102" t="inlineStr">
        <is>
          <t>Not classified</t>
        </is>
      </c>
      <c r="Q104" s="102" t="n"/>
      <c r="R104" s="102" t="n"/>
      <c r="S104" s="144" t="n"/>
      <c r="T104" s="102" t="n"/>
    </row>
    <row r="105">
      <c r="A105" s="102">
        <f>IF($B105="","","WO-"&amp;TEXT(ROW()-5,"0000"))</f>
        <v/>
      </c>
      <c r="B105" s="102" t="n"/>
      <c r="C105" s="141">
        <f>IFERROR(VLOOKUP($B105,'Anomaly Detection'!$A$6:$X$205,2,FALSE),"")</f>
        <v/>
      </c>
      <c r="D105" s="102">
        <f>IFERROR(VLOOKUP($B105,'Anomaly Detection'!$A$6:$X$205,3,FALSE),"")</f>
        <v/>
      </c>
      <c r="E105" s="102">
        <f>IFERROR(VLOOKUP($B105,'Anomaly Detection'!$A$6:$X$205,4,FALSE),"")</f>
        <v/>
      </c>
      <c r="F105" s="102">
        <f>IFERROR(VLOOKUP($B105,'Anomaly Detection'!$A$6:$X$205,5,FALSE),"")</f>
        <v/>
      </c>
      <c r="G105" s="102">
        <f>IFERROR(VLOOKUP($B105,'Anomaly Detection'!$A$6:$X$205,7,FALSE),"")</f>
        <v/>
      </c>
      <c r="H105" s="102">
        <f>IFERROR(VLOOKUP($B105,'Anomaly Detection'!$A$6:$X$205,8,FALSE),"")</f>
        <v/>
      </c>
      <c r="I105" s="102">
        <f>IFERROR(VLOOKUP($B105,'Anomaly Detection'!$A$6:$X$205,14,FALSE),"")</f>
        <v/>
      </c>
      <c r="J105" s="102">
        <f>IFERROR(VLOOKUP($B105,'Anomaly Detection'!$A$6:$X$205,15,FALSE),"")</f>
        <v/>
      </c>
      <c r="K105" s="102">
        <f>IFERROR(VLOOKUP($B105,'Anomaly Detection'!$A$6:$X$205,18,FALSE),"")</f>
        <v/>
      </c>
      <c r="L105" s="102" t="inlineStr">
        <is>
          <t>Open</t>
        </is>
      </c>
      <c r="M105" s="141">
        <f>IFERROR(VLOOKUP($B105,'Anomaly Detection'!$A$6:$X$205,20,FALSE),"")</f>
        <v/>
      </c>
      <c r="N105" s="141" t="n"/>
      <c r="O105" s="102">
        <f>IF($M105="","",IF(AND($L105&lt;&gt;"Closed",TODAY()&gt;$M105),"Overdue","Not overdue"))</f>
        <v/>
      </c>
      <c r="P105" s="102" t="inlineStr">
        <is>
          <t>Not classified</t>
        </is>
      </c>
      <c r="Q105" s="102" t="n"/>
      <c r="R105" s="102" t="n"/>
      <c r="S105" s="144" t="n"/>
      <c r="T105" s="102" t="n"/>
    </row>
  </sheetData>
  <mergeCells count="1">
    <mergeCell ref="A1:T1"/>
  </mergeCells>
  <conditionalFormatting sqref="O6:O105">
    <cfRule type="expression" priority="1" dxfId="4">
      <formula>$O6="Overdue"</formula>
    </cfRule>
  </conditionalFormatting>
  <dataValidations count="3">
    <dataValidation sqref="B6:B105" showDropDown="0" showInputMessage="0" showErrorMessage="0" allowBlank="0" type="list">
      <formula1>Anomaly Detection!$A$6:$A$205</formula1>
    </dataValidation>
    <dataValidation sqref="L6:L105" showDropDown="0" showInputMessage="0" showErrorMessage="0" allowBlank="0" type="list">
      <formula1>Base Settings!$N$13:$N$17</formula1>
    </dataValidation>
    <dataValidation sqref="P6:P105" showDropDown="0" showInputMessage="0" showErrorMessage="0" allowBlank="0" type="list">
      <formula1>Base Settings!$R$13:$R$21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O16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0" customWidth="1" min="9" max="9"/>
    <col width="14" customWidth="1" min="10" max="10"/>
    <col width="14" customWidth="1" min="11" max="11"/>
    <col width="4" customWidth="1" min="12" max="12"/>
    <col width="14" customWidth="1" min="13" max="13"/>
    <col width="14" customWidth="1" min="14" max="14"/>
    <col width="14" customWidth="1" min="15" max="15"/>
  </cols>
  <sheetData>
    <row r="1" ht="34" customHeight="1">
      <c r="A1" s="9" t="inlineStr">
        <is>
          <t>Monthly Summary by Energy Type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24" customHeight="1">
      <c r="A2" s="13" t="inlineStr">
        <is>
          <t>Description</t>
        </is>
      </c>
      <c r="B2" s="13" t="inlineStr">
        <is>
          <t>Column A can be replaced with the first day of any month. Formulas summarize data by month.</t>
        </is>
      </c>
      <c r="C2" s="13" t="n"/>
      <c r="D2" s="13" t="n"/>
      <c r="E2" s="13" t="n"/>
      <c r="F2" s="13" t="n"/>
      <c r="G2" s="13" t="n"/>
      <c r="H2" s="13" t="n"/>
      <c r="I2" s="13" t="n"/>
      <c r="J2" s="13" t="n"/>
      <c r="K2" s="13" t="n"/>
    </row>
    <row r="3" ht="24" customHeight="1"/>
    <row r="4">
      <c r="A4" s="30" t="inlineStr">
        <is>
          <t>Month</t>
        </is>
      </c>
      <c r="B4" s="30" t="inlineStr">
        <is>
          <t>Electricity(kWh)</t>
        </is>
      </c>
      <c r="C4" s="30" t="inlineStr">
        <is>
          <t>Water(m³)</t>
        </is>
      </c>
      <c r="D4" s="30" t="inlineStr">
        <is>
          <t>Gas(m³)</t>
        </is>
      </c>
      <c r="E4" s="30" t="inlineStr">
        <is>
          <t>Heat(GJ)</t>
        </is>
      </c>
      <c r="F4" s="30" t="inlineStr">
        <is>
          <t>Steam(t)</t>
        </is>
      </c>
      <c r="G4" s="30" t="inlineStr">
        <is>
          <t>Cooling(GJ)</t>
        </is>
      </c>
      <c r="H4" s="30" t="inlineStr">
        <is>
          <t>Total cost</t>
        </is>
      </c>
      <c r="I4" s="30" t="inlineStr">
        <is>
          <t>Anomalies</t>
        </is>
      </c>
      <c r="J4" s="30" t="inlineStr">
        <is>
          <t>High / severe anomalies</t>
        </is>
      </c>
      <c r="K4" s="30" t="inlineStr">
        <is>
          <t>Carbon kgCO2e</t>
        </is>
      </c>
      <c r="M4" s="44" t="inlineStr">
        <is>
          <t>Energy type</t>
        </is>
      </c>
      <c r="N4" s="44" t="inlineStr">
        <is>
          <t>Usage summary</t>
        </is>
      </c>
      <c r="O4" s="44" t="inlineStr">
        <is>
          <t>Cost summary</t>
        </is>
      </c>
    </row>
    <row r="5">
      <c r="A5" s="136" t="n">
        <v>46023</v>
      </c>
      <c r="B5" s="145">
        <f>SUMIFS('Energy Data Input'!$N$6:$N$205,'Energy Data Input'!$B$6:$B$205,"&gt;="&amp;$A5,'Energy Data Input'!$B$6:$B$205,"&lt;"&amp;EDATE($A5,1),'Energy Data Input'!$J$6:$J$205,"Electricity")</f>
        <v/>
      </c>
      <c r="C5" s="145">
        <f>SUMIFS('Energy Data Input'!$N$6:$N$205,'Energy Data Input'!$B$6:$B$205,"&gt;="&amp;$A5,'Energy Data Input'!$B$6:$B$205,"&lt;"&amp;EDATE($A5,1),'Energy Data Input'!$J$6:$J$205,"Water")</f>
        <v/>
      </c>
      <c r="D5" s="145">
        <f>SUMIFS('Energy Data Input'!$N$6:$N$205,'Energy Data Input'!$B$6:$B$205,"&gt;="&amp;$A5,'Energy Data Input'!$B$6:$B$205,"&lt;"&amp;EDATE($A5,1),'Energy Data Input'!$J$6:$J$205,"Gas")</f>
        <v/>
      </c>
      <c r="E5" s="145">
        <f>SUMIFS('Energy Data Input'!$N$6:$N$205,'Energy Data Input'!$B$6:$B$205,"&gt;="&amp;$A5,'Energy Data Input'!$B$6:$B$205,"&lt;"&amp;EDATE($A5,1),'Energy Data Input'!$J$6:$J$205,"Heat")</f>
        <v/>
      </c>
      <c r="F5" s="145">
        <f>SUMIFS('Energy Data Input'!$N$6:$N$205,'Energy Data Input'!$B$6:$B$205,"&gt;="&amp;$A5,'Energy Data Input'!$B$6:$B$205,"&lt;"&amp;EDATE($A5,1),'Energy Data Input'!$J$6:$J$205,"Steam")</f>
        <v/>
      </c>
      <c r="G5" s="145">
        <f>SUMIFS('Energy Data Input'!$N$6:$N$205,'Energy Data Input'!$B$6:$B$205,"&gt;="&amp;$A5,'Energy Data Input'!$B$6:$B$205,"&lt;"&amp;EDATE($A5,1),'Energy Data Input'!$J$6:$J$205,"Cooling")</f>
        <v/>
      </c>
      <c r="H5" s="146">
        <f>SUMIFS('Energy Data Input'!$P$6:$P$205,'Energy Data Input'!$B$6:$B$205,"&gt;="&amp;$A5,'Energy Data Input'!$B$6:$B$205,"&lt;"&amp;EDATE($A5,1))</f>
        <v/>
      </c>
      <c r="I5" s="147">
        <f>COUNTIFS('Anomaly Detection'!$B$6:$B$205,"&gt;="&amp;$A5,'Anomaly Detection'!$B$6:$B$205,"&lt;"&amp;EDATE($A5,1),'Anomaly Detection'!$N$6:$N$205,"&lt;&gt;Normal",'Anomaly Detection'!$N$6:$N$205,"&lt;&gt;")</f>
        <v/>
      </c>
      <c r="J5" s="147">
        <f>COUNTIFS('Anomaly Detection'!$B$6:$B$205,"&gt;="&amp;$A5,'Anomaly Detection'!$B$6:$B$205,"&lt;"&amp;EDATE($A5,1),'Anomaly Detection'!$O$6:$O$205,"High")+COUNTIFS('Anomaly Detection'!$B$6:$B$205,"&gt;="&amp;$A5,'Anomaly Detection'!$B$6:$B$205,"&lt;"&amp;EDATE($A5,1),'Anomaly Detection'!$O$6:$O$205,"Severe")</f>
        <v/>
      </c>
      <c r="K5" s="145">
        <f>SUMIFS('Energy Data Input'!$U$6:$U$205,'Energy Data Input'!$B$6:$B$205,"&gt;="&amp;$A5,'Energy Data Input'!$B$6:$B$205,"&lt;"&amp;EDATE($A5,1))</f>
        <v/>
      </c>
      <c r="M5" t="inlineStr">
        <is>
          <t>Electricity</t>
        </is>
      </c>
      <c r="N5" s="145">
        <f>SUMIFS('Energy Data Input'!$N$6:$N$205,'Energy Data Input'!$J$6:$J$205,$M5)</f>
        <v/>
      </c>
      <c r="O5" s="146">
        <f>SUMIFS('Energy Data Input'!$P$6:$P$205,'Energy Data Input'!$J$6:$J$205,$M5)</f>
        <v/>
      </c>
    </row>
    <row r="6">
      <c r="A6" s="136" t="n">
        <v>46054</v>
      </c>
      <c r="B6" s="145">
        <f>SUMIFS('Energy Data Input'!$N$6:$N$205,'Energy Data Input'!$B$6:$B$205,"&gt;="&amp;$A6,'Energy Data Input'!$B$6:$B$205,"&lt;"&amp;EDATE($A6,1),'Energy Data Input'!$J$6:$J$205,"Electricity")</f>
        <v/>
      </c>
      <c r="C6" s="145">
        <f>SUMIFS('Energy Data Input'!$N$6:$N$205,'Energy Data Input'!$B$6:$B$205,"&gt;="&amp;$A6,'Energy Data Input'!$B$6:$B$205,"&lt;"&amp;EDATE($A6,1),'Energy Data Input'!$J$6:$J$205,"Water")</f>
        <v/>
      </c>
      <c r="D6" s="145">
        <f>SUMIFS('Energy Data Input'!$N$6:$N$205,'Energy Data Input'!$B$6:$B$205,"&gt;="&amp;$A6,'Energy Data Input'!$B$6:$B$205,"&lt;"&amp;EDATE($A6,1),'Energy Data Input'!$J$6:$J$205,"Gas")</f>
        <v/>
      </c>
      <c r="E6" s="145">
        <f>SUMIFS('Energy Data Input'!$N$6:$N$205,'Energy Data Input'!$B$6:$B$205,"&gt;="&amp;$A6,'Energy Data Input'!$B$6:$B$205,"&lt;"&amp;EDATE($A6,1),'Energy Data Input'!$J$6:$J$205,"Heat")</f>
        <v/>
      </c>
      <c r="F6" s="145">
        <f>SUMIFS('Energy Data Input'!$N$6:$N$205,'Energy Data Input'!$B$6:$B$205,"&gt;="&amp;$A6,'Energy Data Input'!$B$6:$B$205,"&lt;"&amp;EDATE($A6,1),'Energy Data Input'!$J$6:$J$205,"Steam")</f>
        <v/>
      </c>
      <c r="G6" s="145">
        <f>SUMIFS('Energy Data Input'!$N$6:$N$205,'Energy Data Input'!$B$6:$B$205,"&gt;="&amp;$A6,'Energy Data Input'!$B$6:$B$205,"&lt;"&amp;EDATE($A6,1),'Energy Data Input'!$J$6:$J$205,"Cooling")</f>
        <v/>
      </c>
      <c r="H6" s="146">
        <f>SUMIFS('Energy Data Input'!$P$6:$P$205,'Energy Data Input'!$B$6:$B$205,"&gt;="&amp;$A6,'Energy Data Input'!$B$6:$B$205,"&lt;"&amp;EDATE($A6,1))</f>
        <v/>
      </c>
      <c r="I6" s="147">
        <f>COUNTIFS('Anomaly Detection'!$B$6:$B$205,"&gt;="&amp;$A6,'Anomaly Detection'!$B$6:$B$205,"&lt;"&amp;EDATE($A6,1),'Anomaly Detection'!$N$6:$N$205,"&lt;&gt;Normal",'Anomaly Detection'!$N$6:$N$205,"&lt;&gt;")</f>
        <v/>
      </c>
      <c r="J6" s="147">
        <f>COUNTIFS('Anomaly Detection'!$B$6:$B$205,"&gt;="&amp;$A6,'Anomaly Detection'!$B$6:$B$205,"&lt;"&amp;EDATE($A6,1),'Anomaly Detection'!$O$6:$O$205,"High")+COUNTIFS('Anomaly Detection'!$B$6:$B$205,"&gt;="&amp;$A6,'Anomaly Detection'!$B$6:$B$205,"&lt;"&amp;EDATE($A6,1),'Anomaly Detection'!$O$6:$O$205,"Severe")</f>
        <v/>
      </c>
      <c r="K6" s="145">
        <f>SUMIFS('Energy Data Input'!$U$6:$U$205,'Energy Data Input'!$B$6:$B$205,"&gt;="&amp;$A6,'Energy Data Input'!$B$6:$B$205,"&lt;"&amp;EDATE($A6,1))</f>
        <v/>
      </c>
      <c r="M6" t="inlineStr">
        <is>
          <t>Water</t>
        </is>
      </c>
      <c r="N6" s="145">
        <f>SUMIFS('Energy Data Input'!$N$6:$N$205,'Energy Data Input'!$J$6:$J$205,$M6)</f>
        <v/>
      </c>
      <c r="O6" s="146">
        <f>SUMIFS('Energy Data Input'!$P$6:$P$205,'Energy Data Input'!$J$6:$J$205,$M6)</f>
        <v/>
      </c>
    </row>
    <row r="7">
      <c r="A7" s="136" t="n">
        <v>46082</v>
      </c>
      <c r="B7" s="145">
        <f>SUMIFS('Energy Data Input'!$N$6:$N$205,'Energy Data Input'!$B$6:$B$205,"&gt;="&amp;$A7,'Energy Data Input'!$B$6:$B$205,"&lt;"&amp;EDATE($A7,1),'Energy Data Input'!$J$6:$J$205,"Electricity")</f>
        <v/>
      </c>
      <c r="C7" s="145">
        <f>SUMIFS('Energy Data Input'!$N$6:$N$205,'Energy Data Input'!$B$6:$B$205,"&gt;="&amp;$A7,'Energy Data Input'!$B$6:$B$205,"&lt;"&amp;EDATE($A7,1),'Energy Data Input'!$J$6:$J$205,"Water")</f>
        <v/>
      </c>
      <c r="D7" s="145">
        <f>SUMIFS('Energy Data Input'!$N$6:$N$205,'Energy Data Input'!$B$6:$B$205,"&gt;="&amp;$A7,'Energy Data Input'!$B$6:$B$205,"&lt;"&amp;EDATE($A7,1),'Energy Data Input'!$J$6:$J$205,"Gas")</f>
        <v/>
      </c>
      <c r="E7" s="145">
        <f>SUMIFS('Energy Data Input'!$N$6:$N$205,'Energy Data Input'!$B$6:$B$205,"&gt;="&amp;$A7,'Energy Data Input'!$B$6:$B$205,"&lt;"&amp;EDATE($A7,1),'Energy Data Input'!$J$6:$J$205,"Heat")</f>
        <v/>
      </c>
      <c r="F7" s="145">
        <f>SUMIFS('Energy Data Input'!$N$6:$N$205,'Energy Data Input'!$B$6:$B$205,"&gt;="&amp;$A7,'Energy Data Input'!$B$6:$B$205,"&lt;"&amp;EDATE($A7,1),'Energy Data Input'!$J$6:$J$205,"Steam")</f>
        <v/>
      </c>
      <c r="G7" s="145">
        <f>SUMIFS('Energy Data Input'!$N$6:$N$205,'Energy Data Input'!$B$6:$B$205,"&gt;="&amp;$A7,'Energy Data Input'!$B$6:$B$205,"&lt;"&amp;EDATE($A7,1),'Energy Data Input'!$J$6:$J$205,"Cooling")</f>
        <v/>
      </c>
      <c r="H7" s="146">
        <f>SUMIFS('Energy Data Input'!$P$6:$P$205,'Energy Data Input'!$B$6:$B$205,"&gt;="&amp;$A7,'Energy Data Input'!$B$6:$B$205,"&lt;"&amp;EDATE($A7,1))</f>
        <v/>
      </c>
      <c r="I7" s="147">
        <f>COUNTIFS('Anomaly Detection'!$B$6:$B$205,"&gt;="&amp;$A7,'Anomaly Detection'!$B$6:$B$205,"&lt;"&amp;EDATE($A7,1),'Anomaly Detection'!$N$6:$N$205,"&lt;&gt;Normal",'Anomaly Detection'!$N$6:$N$205,"&lt;&gt;")</f>
        <v/>
      </c>
      <c r="J7" s="147">
        <f>COUNTIFS('Anomaly Detection'!$B$6:$B$205,"&gt;="&amp;$A7,'Anomaly Detection'!$B$6:$B$205,"&lt;"&amp;EDATE($A7,1),'Anomaly Detection'!$O$6:$O$205,"High")+COUNTIFS('Anomaly Detection'!$B$6:$B$205,"&gt;="&amp;$A7,'Anomaly Detection'!$B$6:$B$205,"&lt;"&amp;EDATE($A7,1),'Anomaly Detection'!$O$6:$O$205,"Severe")</f>
        <v/>
      </c>
      <c r="K7" s="145">
        <f>SUMIFS('Energy Data Input'!$U$6:$U$205,'Energy Data Input'!$B$6:$B$205,"&gt;="&amp;$A7,'Energy Data Input'!$B$6:$B$205,"&lt;"&amp;EDATE($A7,1))</f>
        <v/>
      </c>
      <c r="M7" t="inlineStr">
        <is>
          <t>Gas</t>
        </is>
      </c>
      <c r="N7" s="145">
        <f>SUMIFS('Energy Data Input'!$N$6:$N$205,'Energy Data Input'!$J$6:$J$205,$M7)</f>
        <v/>
      </c>
      <c r="O7" s="146">
        <f>SUMIFS('Energy Data Input'!$P$6:$P$205,'Energy Data Input'!$J$6:$J$205,$M7)</f>
        <v/>
      </c>
    </row>
    <row r="8">
      <c r="A8" s="136" t="n">
        <v>46113</v>
      </c>
      <c r="B8" s="145">
        <f>SUMIFS('Energy Data Input'!$N$6:$N$205,'Energy Data Input'!$B$6:$B$205,"&gt;="&amp;$A8,'Energy Data Input'!$B$6:$B$205,"&lt;"&amp;EDATE($A8,1),'Energy Data Input'!$J$6:$J$205,"Electricity")</f>
        <v/>
      </c>
      <c r="C8" s="145">
        <f>SUMIFS('Energy Data Input'!$N$6:$N$205,'Energy Data Input'!$B$6:$B$205,"&gt;="&amp;$A8,'Energy Data Input'!$B$6:$B$205,"&lt;"&amp;EDATE($A8,1),'Energy Data Input'!$J$6:$J$205,"Water")</f>
        <v/>
      </c>
      <c r="D8" s="145">
        <f>SUMIFS('Energy Data Input'!$N$6:$N$205,'Energy Data Input'!$B$6:$B$205,"&gt;="&amp;$A8,'Energy Data Input'!$B$6:$B$205,"&lt;"&amp;EDATE($A8,1),'Energy Data Input'!$J$6:$J$205,"Gas")</f>
        <v/>
      </c>
      <c r="E8" s="145">
        <f>SUMIFS('Energy Data Input'!$N$6:$N$205,'Energy Data Input'!$B$6:$B$205,"&gt;="&amp;$A8,'Energy Data Input'!$B$6:$B$205,"&lt;"&amp;EDATE($A8,1),'Energy Data Input'!$J$6:$J$205,"Heat")</f>
        <v/>
      </c>
      <c r="F8" s="145">
        <f>SUMIFS('Energy Data Input'!$N$6:$N$205,'Energy Data Input'!$B$6:$B$205,"&gt;="&amp;$A8,'Energy Data Input'!$B$6:$B$205,"&lt;"&amp;EDATE($A8,1),'Energy Data Input'!$J$6:$J$205,"Steam")</f>
        <v/>
      </c>
      <c r="G8" s="145">
        <f>SUMIFS('Energy Data Input'!$N$6:$N$205,'Energy Data Input'!$B$6:$B$205,"&gt;="&amp;$A8,'Energy Data Input'!$B$6:$B$205,"&lt;"&amp;EDATE($A8,1),'Energy Data Input'!$J$6:$J$205,"Cooling")</f>
        <v/>
      </c>
      <c r="H8" s="146">
        <f>SUMIFS('Energy Data Input'!$P$6:$P$205,'Energy Data Input'!$B$6:$B$205,"&gt;="&amp;$A8,'Energy Data Input'!$B$6:$B$205,"&lt;"&amp;EDATE($A8,1))</f>
        <v/>
      </c>
      <c r="I8" s="147">
        <f>COUNTIFS('Anomaly Detection'!$B$6:$B$205,"&gt;="&amp;$A8,'Anomaly Detection'!$B$6:$B$205,"&lt;"&amp;EDATE($A8,1),'Anomaly Detection'!$N$6:$N$205,"&lt;&gt;Normal",'Anomaly Detection'!$N$6:$N$205,"&lt;&gt;")</f>
        <v/>
      </c>
      <c r="J8" s="147">
        <f>COUNTIFS('Anomaly Detection'!$B$6:$B$205,"&gt;="&amp;$A8,'Anomaly Detection'!$B$6:$B$205,"&lt;"&amp;EDATE($A8,1),'Anomaly Detection'!$O$6:$O$205,"High")+COUNTIFS('Anomaly Detection'!$B$6:$B$205,"&gt;="&amp;$A8,'Anomaly Detection'!$B$6:$B$205,"&lt;"&amp;EDATE($A8,1),'Anomaly Detection'!$O$6:$O$205,"Severe")</f>
        <v/>
      </c>
      <c r="K8" s="145">
        <f>SUMIFS('Energy Data Input'!$U$6:$U$205,'Energy Data Input'!$B$6:$B$205,"&gt;="&amp;$A8,'Energy Data Input'!$B$6:$B$205,"&lt;"&amp;EDATE($A8,1))</f>
        <v/>
      </c>
      <c r="M8" t="inlineStr">
        <is>
          <t>Heat</t>
        </is>
      </c>
      <c r="N8" s="145">
        <f>SUMIFS('Energy Data Input'!$N$6:$N$205,'Energy Data Input'!$J$6:$J$205,$M8)</f>
        <v/>
      </c>
      <c r="O8" s="146">
        <f>SUMIFS('Energy Data Input'!$P$6:$P$205,'Energy Data Input'!$J$6:$J$205,$M8)</f>
        <v/>
      </c>
    </row>
    <row r="9">
      <c r="A9" s="136" t="n">
        <v>46143</v>
      </c>
      <c r="B9" s="145">
        <f>SUMIFS('Energy Data Input'!$N$6:$N$205,'Energy Data Input'!$B$6:$B$205,"&gt;="&amp;$A9,'Energy Data Input'!$B$6:$B$205,"&lt;"&amp;EDATE($A9,1),'Energy Data Input'!$J$6:$J$205,"Electricity")</f>
        <v/>
      </c>
      <c r="C9" s="145">
        <f>SUMIFS('Energy Data Input'!$N$6:$N$205,'Energy Data Input'!$B$6:$B$205,"&gt;="&amp;$A9,'Energy Data Input'!$B$6:$B$205,"&lt;"&amp;EDATE($A9,1),'Energy Data Input'!$J$6:$J$205,"Water")</f>
        <v/>
      </c>
      <c r="D9" s="145">
        <f>SUMIFS('Energy Data Input'!$N$6:$N$205,'Energy Data Input'!$B$6:$B$205,"&gt;="&amp;$A9,'Energy Data Input'!$B$6:$B$205,"&lt;"&amp;EDATE($A9,1),'Energy Data Input'!$J$6:$J$205,"Gas")</f>
        <v/>
      </c>
      <c r="E9" s="145">
        <f>SUMIFS('Energy Data Input'!$N$6:$N$205,'Energy Data Input'!$B$6:$B$205,"&gt;="&amp;$A9,'Energy Data Input'!$B$6:$B$205,"&lt;"&amp;EDATE($A9,1),'Energy Data Input'!$J$6:$J$205,"Heat")</f>
        <v/>
      </c>
      <c r="F9" s="145">
        <f>SUMIFS('Energy Data Input'!$N$6:$N$205,'Energy Data Input'!$B$6:$B$205,"&gt;="&amp;$A9,'Energy Data Input'!$B$6:$B$205,"&lt;"&amp;EDATE($A9,1),'Energy Data Input'!$J$6:$J$205,"Steam")</f>
        <v/>
      </c>
      <c r="G9" s="145">
        <f>SUMIFS('Energy Data Input'!$N$6:$N$205,'Energy Data Input'!$B$6:$B$205,"&gt;="&amp;$A9,'Energy Data Input'!$B$6:$B$205,"&lt;"&amp;EDATE($A9,1),'Energy Data Input'!$J$6:$J$205,"Cooling")</f>
        <v/>
      </c>
      <c r="H9" s="146">
        <f>SUMIFS('Energy Data Input'!$P$6:$P$205,'Energy Data Input'!$B$6:$B$205,"&gt;="&amp;$A9,'Energy Data Input'!$B$6:$B$205,"&lt;"&amp;EDATE($A9,1))</f>
        <v/>
      </c>
      <c r="I9" s="147">
        <f>COUNTIFS('Anomaly Detection'!$B$6:$B$205,"&gt;="&amp;$A9,'Anomaly Detection'!$B$6:$B$205,"&lt;"&amp;EDATE($A9,1),'Anomaly Detection'!$N$6:$N$205,"&lt;&gt;Normal",'Anomaly Detection'!$N$6:$N$205,"&lt;&gt;")</f>
        <v/>
      </c>
      <c r="J9" s="147">
        <f>COUNTIFS('Anomaly Detection'!$B$6:$B$205,"&gt;="&amp;$A9,'Anomaly Detection'!$B$6:$B$205,"&lt;"&amp;EDATE($A9,1),'Anomaly Detection'!$O$6:$O$205,"High")+COUNTIFS('Anomaly Detection'!$B$6:$B$205,"&gt;="&amp;$A9,'Anomaly Detection'!$B$6:$B$205,"&lt;"&amp;EDATE($A9,1),'Anomaly Detection'!$O$6:$O$205,"Severe")</f>
        <v/>
      </c>
      <c r="K9" s="145">
        <f>SUMIFS('Energy Data Input'!$U$6:$U$205,'Energy Data Input'!$B$6:$B$205,"&gt;="&amp;$A9,'Energy Data Input'!$B$6:$B$205,"&lt;"&amp;EDATE($A9,1))</f>
        <v/>
      </c>
      <c r="M9" t="inlineStr">
        <is>
          <t>Steam</t>
        </is>
      </c>
      <c r="N9" s="145">
        <f>SUMIFS('Energy Data Input'!$N$6:$N$205,'Energy Data Input'!$J$6:$J$205,$M9)</f>
        <v/>
      </c>
      <c r="O9" s="146">
        <f>SUMIFS('Energy Data Input'!$P$6:$P$205,'Energy Data Input'!$J$6:$J$205,$M9)</f>
        <v/>
      </c>
    </row>
    <row r="10">
      <c r="A10" s="136" t="n">
        <v>46174</v>
      </c>
      <c r="B10" s="145">
        <f>SUMIFS('Energy Data Input'!$N$6:$N$205,'Energy Data Input'!$B$6:$B$205,"&gt;="&amp;$A10,'Energy Data Input'!$B$6:$B$205,"&lt;"&amp;EDATE($A10,1),'Energy Data Input'!$J$6:$J$205,"Electricity")</f>
        <v/>
      </c>
      <c r="C10" s="145">
        <f>SUMIFS('Energy Data Input'!$N$6:$N$205,'Energy Data Input'!$B$6:$B$205,"&gt;="&amp;$A10,'Energy Data Input'!$B$6:$B$205,"&lt;"&amp;EDATE($A10,1),'Energy Data Input'!$J$6:$J$205,"Water")</f>
        <v/>
      </c>
      <c r="D10" s="145">
        <f>SUMIFS('Energy Data Input'!$N$6:$N$205,'Energy Data Input'!$B$6:$B$205,"&gt;="&amp;$A10,'Energy Data Input'!$B$6:$B$205,"&lt;"&amp;EDATE($A10,1),'Energy Data Input'!$J$6:$J$205,"Gas")</f>
        <v/>
      </c>
      <c r="E10" s="145">
        <f>SUMIFS('Energy Data Input'!$N$6:$N$205,'Energy Data Input'!$B$6:$B$205,"&gt;="&amp;$A10,'Energy Data Input'!$B$6:$B$205,"&lt;"&amp;EDATE($A10,1),'Energy Data Input'!$J$6:$J$205,"Heat")</f>
        <v/>
      </c>
      <c r="F10" s="145">
        <f>SUMIFS('Energy Data Input'!$N$6:$N$205,'Energy Data Input'!$B$6:$B$205,"&gt;="&amp;$A10,'Energy Data Input'!$B$6:$B$205,"&lt;"&amp;EDATE($A10,1),'Energy Data Input'!$J$6:$J$205,"Steam")</f>
        <v/>
      </c>
      <c r="G10" s="145">
        <f>SUMIFS('Energy Data Input'!$N$6:$N$205,'Energy Data Input'!$B$6:$B$205,"&gt;="&amp;$A10,'Energy Data Input'!$B$6:$B$205,"&lt;"&amp;EDATE($A10,1),'Energy Data Input'!$J$6:$J$205,"Cooling")</f>
        <v/>
      </c>
      <c r="H10" s="146">
        <f>SUMIFS('Energy Data Input'!$P$6:$P$205,'Energy Data Input'!$B$6:$B$205,"&gt;="&amp;$A10,'Energy Data Input'!$B$6:$B$205,"&lt;"&amp;EDATE($A10,1))</f>
        <v/>
      </c>
      <c r="I10" s="147">
        <f>COUNTIFS('Anomaly Detection'!$B$6:$B$205,"&gt;="&amp;$A10,'Anomaly Detection'!$B$6:$B$205,"&lt;"&amp;EDATE($A10,1),'Anomaly Detection'!$N$6:$N$205,"&lt;&gt;Normal",'Anomaly Detection'!$N$6:$N$205,"&lt;&gt;")</f>
        <v/>
      </c>
      <c r="J10" s="147">
        <f>COUNTIFS('Anomaly Detection'!$B$6:$B$205,"&gt;="&amp;$A10,'Anomaly Detection'!$B$6:$B$205,"&lt;"&amp;EDATE($A10,1),'Anomaly Detection'!$O$6:$O$205,"High")+COUNTIFS('Anomaly Detection'!$B$6:$B$205,"&gt;="&amp;$A10,'Anomaly Detection'!$B$6:$B$205,"&lt;"&amp;EDATE($A10,1),'Anomaly Detection'!$O$6:$O$205,"Severe")</f>
        <v/>
      </c>
      <c r="K10" s="145">
        <f>SUMIFS('Energy Data Input'!$U$6:$U$205,'Energy Data Input'!$B$6:$B$205,"&gt;="&amp;$A10,'Energy Data Input'!$B$6:$B$205,"&lt;"&amp;EDATE($A10,1))</f>
        <v/>
      </c>
      <c r="M10" t="inlineStr">
        <is>
          <t>Cooling</t>
        </is>
      </c>
      <c r="N10" s="145">
        <f>SUMIFS('Energy Data Input'!$N$6:$N$205,'Energy Data Input'!$J$6:$J$205,$M10)</f>
        <v/>
      </c>
      <c r="O10" s="146">
        <f>SUMIFS('Energy Data Input'!$P$6:$P$205,'Energy Data Input'!$J$6:$J$205,$M10)</f>
        <v/>
      </c>
    </row>
    <row r="11">
      <c r="A11" s="136" t="n">
        <v>46204</v>
      </c>
      <c r="B11" s="145">
        <f>SUMIFS('Energy Data Input'!$N$6:$N$205,'Energy Data Input'!$B$6:$B$205,"&gt;="&amp;$A11,'Energy Data Input'!$B$6:$B$205,"&lt;"&amp;EDATE($A11,1),'Energy Data Input'!$J$6:$J$205,"Electricity")</f>
        <v/>
      </c>
      <c r="C11" s="145">
        <f>SUMIFS('Energy Data Input'!$N$6:$N$205,'Energy Data Input'!$B$6:$B$205,"&gt;="&amp;$A11,'Energy Data Input'!$B$6:$B$205,"&lt;"&amp;EDATE($A11,1),'Energy Data Input'!$J$6:$J$205,"Water")</f>
        <v/>
      </c>
      <c r="D11" s="145">
        <f>SUMIFS('Energy Data Input'!$N$6:$N$205,'Energy Data Input'!$B$6:$B$205,"&gt;="&amp;$A11,'Energy Data Input'!$B$6:$B$205,"&lt;"&amp;EDATE($A11,1),'Energy Data Input'!$J$6:$J$205,"Gas")</f>
        <v/>
      </c>
      <c r="E11" s="145">
        <f>SUMIFS('Energy Data Input'!$N$6:$N$205,'Energy Data Input'!$B$6:$B$205,"&gt;="&amp;$A11,'Energy Data Input'!$B$6:$B$205,"&lt;"&amp;EDATE($A11,1),'Energy Data Input'!$J$6:$J$205,"Heat")</f>
        <v/>
      </c>
      <c r="F11" s="145">
        <f>SUMIFS('Energy Data Input'!$N$6:$N$205,'Energy Data Input'!$B$6:$B$205,"&gt;="&amp;$A11,'Energy Data Input'!$B$6:$B$205,"&lt;"&amp;EDATE($A11,1),'Energy Data Input'!$J$6:$J$205,"Steam")</f>
        <v/>
      </c>
      <c r="G11" s="145">
        <f>SUMIFS('Energy Data Input'!$N$6:$N$205,'Energy Data Input'!$B$6:$B$205,"&gt;="&amp;$A11,'Energy Data Input'!$B$6:$B$205,"&lt;"&amp;EDATE($A11,1),'Energy Data Input'!$J$6:$J$205,"Cooling")</f>
        <v/>
      </c>
      <c r="H11" s="146">
        <f>SUMIFS('Energy Data Input'!$P$6:$P$205,'Energy Data Input'!$B$6:$B$205,"&gt;="&amp;$A11,'Energy Data Input'!$B$6:$B$205,"&lt;"&amp;EDATE($A11,1))</f>
        <v/>
      </c>
      <c r="I11" s="147">
        <f>COUNTIFS('Anomaly Detection'!$B$6:$B$205,"&gt;="&amp;$A11,'Anomaly Detection'!$B$6:$B$205,"&lt;"&amp;EDATE($A11,1),'Anomaly Detection'!$N$6:$N$205,"&lt;&gt;Normal",'Anomaly Detection'!$N$6:$N$205,"&lt;&gt;")</f>
        <v/>
      </c>
      <c r="J11" s="147">
        <f>COUNTIFS('Anomaly Detection'!$B$6:$B$205,"&gt;="&amp;$A11,'Anomaly Detection'!$B$6:$B$205,"&lt;"&amp;EDATE($A11,1),'Anomaly Detection'!$O$6:$O$205,"High")+COUNTIFS('Anomaly Detection'!$B$6:$B$205,"&gt;="&amp;$A11,'Anomaly Detection'!$B$6:$B$205,"&lt;"&amp;EDATE($A11,1),'Anomaly Detection'!$O$6:$O$205,"Severe")</f>
        <v/>
      </c>
      <c r="K11" s="145">
        <f>SUMIFS('Energy Data Input'!$U$6:$U$205,'Energy Data Input'!$B$6:$B$205,"&gt;="&amp;$A11,'Energy Data Input'!$B$6:$B$205,"&lt;"&amp;EDATE($A11,1))</f>
        <v/>
      </c>
      <c r="M11" t="inlineStr">
        <is>
          <t>Integrated energy use</t>
        </is>
      </c>
      <c r="N11" s="145">
        <f>SUMIFS('Energy Data Input'!$N$6:$N$205,'Energy Data Input'!$J$6:$J$205,$M11)</f>
        <v/>
      </c>
      <c r="O11" s="146">
        <f>SUMIFS('Energy Data Input'!$P$6:$P$205,'Energy Data Input'!$J$6:$J$205,$M11)</f>
        <v/>
      </c>
    </row>
    <row r="12">
      <c r="A12" s="136" t="n">
        <v>46235</v>
      </c>
      <c r="B12" s="145">
        <f>SUMIFS('Energy Data Input'!$N$6:$N$205,'Energy Data Input'!$B$6:$B$205,"&gt;="&amp;$A12,'Energy Data Input'!$B$6:$B$205,"&lt;"&amp;EDATE($A12,1),'Energy Data Input'!$J$6:$J$205,"Electricity")</f>
        <v/>
      </c>
      <c r="C12" s="145">
        <f>SUMIFS('Energy Data Input'!$N$6:$N$205,'Energy Data Input'!$B$6:$B$205,"&gt;="&amp;$A12,'Energy Data Input'!$B$6:$B$205,"&lt;"&amp;EDATE($A12,1),'Energy Data Input'!$J$6:$J$205,"Water")</f>
        <v/>
      </c>
      <c r="D12" s="145">
        <f>SUMIFS('Energy Data Input'!$N$6:$N$205,'Energy Data Input'!$B$6:$B$205,"&gt;="&amp;$A12,'Energy Data Input'!$B$6:$B$205,"&lt;"&amp;EDATE($A12,1),'Energy Data Input'!$J$6:$J$205,"Gas")</f>
        <v/>
      </c>
      <c r="E12" s="145">
        <f>SUMIFS('Energy Data Input'!$N$6:$N$205,'Energy Data Input'!$B$6:$B$205,"&gt;="&amp;$A12,'Energy Data Input'!$B$6:$B$205,"&lt;"&amp;EDATE($A12,1),'Energy Data Input'!$J$6:$J$205,"Heat")</f>
        <v/>
      </c>
      <c r="F12" s="145">
        <f>SUMIFS('Energy Data Input'!$N$6:$N$205,'Energy Data Input'!$B$6:$B$205,"&gt;="&amp;$A12,'Energy Data Input'!$B$6:$B$205,"&lt;"&amp;EDATE($A12,1),'Energy Data Input'!$J$6:$J$205,"Steam")</f>
        <v/>
      </c>
      <c r="G12" s="145">
        <f>SUMIFS('Energy Data Input'!$N$6:$N$205,'Energy Data Input'!$B$6:$B$205,"&gt;="&amp;$A12,'Energy Data Input'!$B$6:$B$205,"&lt;"&amp;EDATE($A12,1),'Energy Data Input'!$J$6:$J$205,"Cooling")</f>
        <v/>
      </c>
      <c r="H12" s="146">
        <f>SUMIFS('Energy Data Input'!$P$6:$P$205,'Energy Data Input'!$B$6:$B$205,"&gt;="&amp;$A12,'Energy Data Input'!$B$6:$B$205,"&lt;"&amp;EDATE($A12,1))</f>
        <v/>
      </c>
      <c r="I12" s="147">
        <f>COUNTIFS('Anomaly Detection'!$B$6:$B$205,"&gt;="&amp;$A12,'Anomaly Detection'!$B$6:$B$205,"&lt;"&amp;EDATE($A12,1),'Anomaly Detection'!$N$6:$N$205,"&lt;&gt;Normal",'Anomaly Detection'!$N$6:$N$205,"&lt;&gt;")</f>
        <v/>
      </c>
      <c r="J12" s="147">
        <f>COUNTIFS('Anomaly Detection'!$B$6:$B$205,"&gt;="&amp;$A12,'Anomaly Detection'!$B$6:$B$205,"&lt;"&amp;EDATE($A12,1),'Anomaly Detection'!$O$6:$O$205,"High")+COUNTIFS('Anomaly Detection'!$B$6:$B$205,"&gt;="&amp;$A12,'Anomaly Detection'!$B$6:$B$205,"&lt;"&amp;EDATE($A12,1),'Anomaly Detection'!$O$6:$O$205,"Severe")</f>
        <v/>
      </c>
      <c r="K12" s="145">
        <f>SUMIFS('Energy Data Input'!$U$6:$U$205,'Energy Data Input'!$B$6:$B$205,"&gt;="&amp;$A12,'Energy Data Input'!$B$6:$B$205,"&lt;"&amp;EDATE($A12,1))</f>
        <v/>
      </c>
    </row>
    <row r="13">
      <c r="A13" s="136" t="n">
        <v>46266</v>
      </c>
      <c r="B13" s="145">
        <f>SUMIFS('Energy Data Input'!$N$6:$N$205,'Energy Data Input'!$B$6:$B$205,"&gt;="&amp;$A13,'Energy Data Input'!$B$6:$B$205,"&lt;"&amp;EDATE($A13,1),'Energy Data Input'!$J$6:$J$205,"Electricity")</f>
        <v/>
      </c>
      <c r="C13" s="145">
        <f>SUMIFS('Energy Data Input'!$N$6:$N$205,'Energy Data Input'!$B$6:$B$205,"&gt;="&amp;$A13,'Energy Data Input'!$B$6:$B$205,"&lt;"&amp;EDATE($A13,1),'Energy Data Input'!$J$6:$J$205,"Water")</f>
        <v/>
      </c>
      <c r="D13" s="145">
        <f>SUMIFS('Energy Data Input'!$N$6:$N$205,'Energy Data Input'!$B$6:$B$205,"&gt;="&amp;$A13,'Energy Data Input'!$B$6:$B$205,"&lt;"&amp;EDATE($A13,1),'Energy Data Input'!$J$6:$J$205,"Gas")</f>
        <v/>
      </c>
      <c r="E13" s="145">
        <f>SUMIFS('Energy Data Input'!$N$6:$N$205,'Energy Data Input'!$B$6:$B$205,"&gt;="&amp;$A13,'Energy Data Input'!$B$6:$B$205,"&lt;"&amp;EDATE($A13,1),'Energy Data Input'!$J$6:$J$205,"Heat")</f>
        <v/>
      </c>
      <c r="F13" s="145">
        <f>SUMIFS('Energy Data Input'!$N$6:$N$205,'Energy Data Input'!$B$6:$B$205,"&gt;="&amp;$A13,'Energy Data Input'!$B$6:$B$205,"&lt;"&amp;EDATE($A13,1),'Energy Data Input'!$J$6:$J$205,"Steam")</f>
        <v/>
      </c>
      <c r="G13" s="145">
        <f>SUMIFS('Energy Data Input'!$N$6:$N$205,'Energy Data Input'!$B$6:$B$205,"&gt;="&amp;$A13,'Energy Data Input'!$B$6:$B$205,"&lt;"&amp;EDATE($A13,1),'Energy Data Input'!$J$6:$J$205,"Cooling")</f>
        <v/>
      </c>
      <c r="H13" s="146">
        <f>SUMIFS('Energy Data Input'!$P$6:$P$205,'Energy Data Input'!$B$6:$B$205,"&gt;="&amp;$A13,'Energy Data Input'!$B$6:$B$205,"&lt;"&amp;EDATE($A13,1))</f>
        <v/>
      </c>
      <c r="I13" s="147">
        <f>COUNTIFS('Anomaly Detection'!$B$6:$B$205,"&gt;="&amp;$A13,'Anomaly Detection'!$B$6:$B$205,"&lt;"&amp;EDATE($A13,1),'Anomaly Detection'!$N$6:$N$205,"&lt;&gt;Normal",'Anomaly Detection'!$N$6:$N$205,"&lt;&gt;")</f>
        <v/>
      </c>
      <c r="J13" s="147">
        <f>COUNTIFS('Anomaly Detection'!$B$6:$B$205,"&gt;="&amp;$A13,'Anomaly Detection'!$B$6:$B$205,"&lt;"&amp;EDATE($A13,1),'Anomaly Detection'!$O$6:$O$205,"High")+COUNTIFS('Anomaly Detection'!$B$6:$B$205,"&gt;="&amp;$A13,'Anomaly Detection'!$B$6:$B$205,"&lt;"&amp;EDATE($A13,1),'Anomaly Detection'!$O$6:$O$205,"Severe")</f>
        <v/>
      </c>
      <c r="K13" s="145">
        <f>SUMIFS('Energy Data Input'!$U$6:$U$205,'Energy Data Input'!$B$6:$B$205,"&gt;="&amp;$A13,'Energy Data Input'!$B$6:$B$205,"&lt;"&amp;EDATE($A13,1))</f>
        <v/>
      </c>
    </row>
    <row r="14">
      <c r="A14" s="136" t="n">
        <v>46296</v>
      </c>
      <c r="B14" s="145">
        <f>SUMIFS('Energy Data Input'!$N$6:$N$205,'Energy Data Input'!$B$6:$B$205,"&gt;="&amp;$A14,'Energy Data Input'!$B$6:$B$205,"&lt;"&amp;EDATE($A14,1),'Energy Data Input'!$J$6:$J$205,"Electricity")</f>
        <v/>
      </c>
      <c r="C14" s="145">
        <f>SUMIFS('Energy Data Input'!$N$6:$N$205,'Energy Data Input'!$B$6:$B$205,"&gt;="&amp;$A14,'Energy Data Input'!$B$6:$B$205,"&lt;"&amp;EDATE($A14,1),'Energy Data Input'!$J$6:$J$205,"Water")</f>
        <v/>
      </c>
      <c r="D14" s="145">
        <f>SUMIFS('Energy Data Input'!$N$6:$N$205,'Energy Data Input'!$B$6:$B$205,"&gt;="&amp;$A14,'Energy Data Input'!$B$6:$B$205,"&lt;"&amp;EDATE($A14,1),'Energy Data Input'!$J$6:$J$205,"Gas")</f>
        <v/>
      </c>
      <c r="E14" s="145">
        <f>SUMIFS('Energy Data Input'!$N$6:$N$205,'Energy Data Input'!$B$6:$B$205,"&gt;="&amp;$A14,'Energy Data Input'!$B$6:$B$205,"&lt;"&amp;EDATE($A14,1),'Energy Data Input'!$J$6:$J$205,"Heat")</f>
        <v/>
      </c>
      <c r="F14" s="145">
        <f>SUMIFS('Energy Data Input'!$N$6:$N$205,'Energy Data Input'!$B$6:$B$205,"&gt;="&amp;$A14,'Energy Data Input'!$B$6:$B$205,"&lt;"&amp;EDATE($A14,1),'Energy Data Input'!$J$6:$J$205,"Steam")</f>
        <v/>
      </c>
      <c r="G14" s="145">
        <f>SUMIFS('Energy Data Input'!$N$6:$N$205,'Energy Data Input'!$B$6:$B$205,"&gt;="&amp;$A14,'Energy Data Input'!$B$6:$B$205,"&lt;"&amp;EDATE($A14,1),'Energy Data Input'!$J$6:$J$205,"Cooling")</f>
        <v/>
      </c>
      <c r="H14" s="146">
        <f>SUMIFS('Energy Data Input'!$P$6:$P$205,'Energy Data Input'!$B$6:$B$205,"&gt;="&amp;$A14,'Energy Data Input'!$B$6:$B$205,"&lt;"&amp;EDATE($A14,1))</f>
        <v/>
      </c>
      <c r="I14" s="147">
        <f>COUNTIFS('Anomaly Detection'!$B$6:$B$205,"&gt;="&amp;$A14,'Anomaly Detection'!$B$6:$B$205,"&lt;"&amp;EDATE($A14,1),'Anomaly Detection'!$N$6:$N$205,"&lt;&gt;Normal",'Anomaly Detection'!$N$6:$N$205,"&lt;&gt;")</f>
        <v/>
      </c>
      <c r="J14" s="147">
        <f>COUNTIFS('Anomaly Detection'!$B$6:$B$205,"&gt;="&amp;$A14,'Anomaly Detection'!$B$6:$B$205,"&lt;"&amp;EDATE($A14,1),'Anomaly Detection'!$O$6:$O$205,"High")+COUNTIFS('Anomaly Detection'!$B$6:$B$205,"&gt;="&amp;$A14,'Anomaly Detection'!$B$6:$B$205,"&lt;"&amp;EDATE($A14,1),'Anomaly Detection'!$O$6:$O$205,"Severe")</f>
        <v/>
      </c>
      <c r="K14" s="145">
        <f>SUMIFS('Energy Data Input'!$U$6:$U$205,'Energy Data Input'!$B$6:$B$205,"&gt;="&amp;$A14,'Energy Data Input'!$B$6:$B$205,"&lt;"&amp;EDATE($A14,1))</f>
        <v/>
      </c>
    </row>
    <row r="15">
      <c r="A15" s="136" t="n">
        <v>46327</v>
      </c>
      <c r="B15" s="145">
        <f>SUMIFS('Energy Data Input'!$N$6:$N$205,'Energy Data Input'!$B$6:$B$205,"&gt;="&amp;$A15,'Energy Data Input'!$B$6:$B$205,"&lt;"&amp;EDATE($A15,1),'Energy Data Input'!$J$6:$J$205,"Electricity")</f>
        <v/>
      </c>
      <c r="C15" s="145">
        <f>SUMIFS('Energy Data Input'!$N$6:$N$205,'Energy Data Input'!$B$6:$B$205,"&gt;="&amp;$A15,'Energy Data Input'!$B$6:$B$205,"&lt;"&amp;EDATE($A15,1),'Energy Data Input'!$J$6:$J$205,"Water")</f>
        <v/>
      </c>
      <c r="D15" s="145">
        <f>SUMIFS('Energy Data Input'!$N$6:$N$205,'Energy Data Input'!$B$6:$B$205,"&gt;="&amp;$A15,'Energy Data Input'!$B$6:$B$205,"&lt;"&amp;EDATE($A15,1),'Energy Data Input'!$J$6:$J$205,"Gas")</f>
        <v/>
      </c>
      <c r="E15" s="145">
        <f>SUMIFS('Energy Data Input'!$N$6:$N$205,'Energy Data Input'!$B$6:$B$205,"&gt;="&amp;$A15,'Energy Data Input'!$B$6:$B$205,"&lt;"&amp;EDATE($A15,1),'Energy Data Input'!$J$6:$J$205,"Heat")</f>
        <v/>
      </c>
      <c r="F15" s="145">
        <f>SUMIFS('Energy Data Input'!$N$6:$N$205,'Energy Data Input'!$B$6:$B$205,"&gt;="&amp;$A15,'Energy Data Input'!$B$6:$B$205,"&lt;"&amp;EDATE($A15,1),'Energy Data Input'!$J$6:$J$205,"Steam")</f>
        <v/>
      </c>
      <c r="G15" s="145">
        <f>SUMIFS('Energy Data Input'!$N$6:$N$205,'Energy Data Input'!$B$6:$B$205,"&gt;="&amp;$A15,'Energy Data Input'!$B$6:$B$205,"&lt;"&amp;EDATE($A15,1),'Energy Data Input'!$J$6:$J$205,"Cooling")</f>
        <v/>
      </c>
      <c r="H15" s="146">
        <f>SUMIFS('Energy Data Input'!$P$6:$P$205,'Energy Data Input'!$B$6:$B$205,"&gt;="&amp;$A15,'Energy Data Input'!$B$6:$B$205,"&lt;"&amp;EDATE($A15,1))</f>
        <v/>
      </c>
      <c r="I15" s="147">
        <f>COUNTIFS('Anomaly Detection'!$B$6:$B$205,"&gt;="&amp;$A15,'Anomaly Detection'!$B$6:$B$205,"&lt;"&amp;EDATE($A15,1),'Anomaly Detection'!$N$6:$N$205,"&lt;&gt;Normal",'Anomaly Detection'!$N$6:$N$205,"&lt;&gt;")</f>
        <v/>
      </c>
      <c r="J15" s="147">
        <f>COUNTIFS('Anomaly Detection'!$B$6:$B$205,"&gt;="&amp;$A15,'Anomaly Detection'!$B$6:$B$205,"&lt;"&amp;EDATE($A15,1),'Anomaly Detection'!$O$6:$O$205,"High")+COUNTIFS('Anomaly Detection'!$B$6:$B$205,"&gt;="&amp;$A15,'Anomaly Detection'!$B$6:$B$205,"&lt;"&amp;EDATE($A15,1),'Anomaly Detection'!$O$6:$O$205,"Severe")</f>
        <v/>
      </c>
      <c r="K15" s="145">
        <f>SUMIFS('Energy Data Input'!$U$6:$U$205,'Energy Data Input'!$B$6:$B$205,"&gt;="&amp;$A15,'Energy Data Input'!$B$6:$B$205,"&lt;"&amp;EDATE($A15,1))</f>
        <v/>
      </c>
    </row>
    <row r="16">
      <c r="A16" s="136" t="n">
        <v>46357</v>
      </c>
      <c r="B16" s="145">
        <f>SUMIFS('Energy Data Input'!$N$6:$N$205,'Energy Data Input'!$B$6:$B$205,"&gt;="&amp;$A16,'Energy Data Input'!$B$6:$B$205,"&lt;"&amp;EDATE($A16,1),'Energy Data Input'!$J$6:$J$205,"Electricity")</f>
        <v/>
      </c>
      <c r="C16" s="145">
        <f>SUMIFS('Energy Data Input'!$N$6:$N$205,'Energy Data Input'!$B$6:$B$205,"&gt;="&amp;$A16,'Energy Data Input'!$B$6:$B$205,"&lt;"&amp;EDATE($A16,1),'Energy Data Input'!$J$6:$J$205,"Water")</f>
        <v/>
      </c>
      <c r="D16" s="145">
        <f>SUMIFS('Energy Data Input'!$N$6:$N$205,'Energy Data Input'!$B$6:$B$205,"&gt;="&amp;$A16,'Energy Data Input'!$B$6:$B$205,"&lt;"&amp;EDATE($A16,1),'Energy Data Input'!$J$6:$J$205,"Gas")</f>
        <v/>
      </c>
      <c r="E16" s="145">
        <f>SUMIFS('Energy Data Input'!$N$6:$N$205,'Energy Data Input'!$B$6:$B$205,"&gt;="&amp;$A16,'Energy Data Input'!$B$6:$B$205,"&lt;"&amp;EDATE($A16,1),'Energy Data Input'!$J$6:$J$205,"Heat")</f>
        <v/>
      </c>
      <c r="F16" s="145">
        <f>SUMIFS('Energy Data Input'!$N$6:$N$205,'Energy Data Input'!$B$6:$B$205,"&gt;="&amp;$A16,'Energy Data Input'!$B$6:$B$205,"&lt;"&amp;EDATE($A16,1),'Energy Data Input'!$J$6:$J$205,"Steam")</f>
        <v/>
      </c>
      <c r="G16" s="145">
        <f>SUMIFS('Energy Data Input'!$N$6:$N$205,'Energy Data Input'!$B$6:$B$205,"&gt;="&amp;$A16,'Energy Data Input'!$B$6:$B$205,"&lt;"&amp;EDATE($A16,1),'Energy Data Input'!$J$6:$J$205,"Cooling")</f>
        <v/>
      </c>
      <c r="H16" s="146">
        <f>SUMIFS('Energy Data Input'!$P$6:$P$205,'Energy Data Input'!$B$6:$B$205,"&gt;="&amp;$A16,'Energy Data Input'!$B$6:$B$205,"&lt;"&amp;EDATE($A16,1))</f>
        <v/>
      </c>
      <c r="I16" s="147">
        <f>COUNTIFS('Anomaly Detection'!$B$6:$B$205,"&gt;="&amp;$A16,'Anomaly Detection'!$B$6:$B$205,"&lt;"&amp;EDATE($A16,1),'Anomaly Detection'!$N$6:$N$205,"&lt;&gt;Normal",'Anomaly Detection'!$N$6:$N$205,"&lt;&gt;")</f>
        <v/>
      </c>
      <c r="J16" s="147">
        <f>COUNTIFS('Anomaly Detection'!$B$6:$B$205,"&gt;="&amp;$A16,'Anomaly Detection'!$B$6:$B$205,"&lt;"&amp;EDATE($A16,1),'Anomaly Detection'!$O$6:$O$205,"High")+COUNTIFS('Anomaly Detection'!$B$6:$B$205,"&gt;="&amp;$A16,'Anomaly Detection'!$B$6:$B$205,"&lt;"&amp;EDATE($A16,1),'Anomaly Detection'!$O$6:$O$205,"Severe")</f>
        <v/>
      </c>
      <c r="K16" s="145">
        <f>SUMIFS('Energy Data Input'!$U$6:$U$205,'Energy Data Input'!$B$6:$B$205,"&gt;="&amp;$A16,'Energy Data Input'!$B$6:$B$205,"&lt;"&amp;EDATE($A16,1))</f>
        <v/>
      </c>
    </row>
  </sheetData>
  <mergeCells count="1">
    <mergeCell ref="A1:K1"/>
  </mergeCells>
  <pageMargins left="0.7" right="0.7" top="0.75" bottom="0.75" header="0.3" footer="0.3"/>
  <drawing xmlns:r="http://schemas.openxmlformats.org/officeDocument/2006/relationships" r:id="rId1"/>
  <tableParts count="1"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4"/>
  <sheetViews>
    <sheetView workbookViewId="0">
      <selection activeCell="A1" sqref="A1"/>
    </sheetView>
  </sheetViews>
  <sheetFormatPr baseColWidth="8" defaultRowHeight="15"/>
  <cols>
    <col width="11" customWidth="1" min="1" max="1"/>
    <col width="8" customWidth="1" min="2" max="2"/>
    <col width="20" customWidth="1" min="3" max="3"/>
    <col width="12" customWidth="1" min="4" max="4"/>
    <col width="18" customWidth="1" min="5" max="5"/>
    <col width="22" customWidth="1" min="6" max="6"/>
    <col width="14" customWidth="1" min="7" max="7"/>
    <col width="14" customWidth="1" min="8" max="8"/>
    <col width="28" customWidth="1" min="9" max="9"/>
    <col width="24" customWidth="1" min="10" max="10"/>
    <col width="42" customWidth="1" min="11" max="11"/>
    <col width="10" customWidth="1" min="12" max="12"/>
    <col width="20" customWidth="1" min="13" max="13"/>
  </cols>
  <sheetData>
    <row r="1" ht="34" customHeight="1">
      <c r="A1" s="61" t="inlineStr">
        <is>
          <t>Anomaly Rule Library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24" customHeight="1">
      <c r="A2" s="13" t="inlineStr">
        <is>
          <t>Description</t>
        </is>
      </c>
      <c r="B2" s="13" t="inlineStr">
        <is>
          <t>This rule template uses default thresholds from Base Settings. Add rules by scenario or equipment type as needed.</t>
        </is>
      </c>
      <c r="C2" s="13" t="n"/>
      <c r="D2" s="13" t="n"/>
      <c r="E2" s="13" t="n"/>
      <c r="F2" s="13" t="n"/>
      <c r="G2" s="13" t="n"/>
      <c r="H2" s="13" t="n"/>
      <c r="I2" s="13" t="n"/>
      <c r="J2" s="13" t="n"/>
      <c r="K2" s="13" t="n"/>
      <c r="L2" s="13" t="n"/>
      <c r="M2" s="13" t="n"/>
    </row>
    <row r="3" ht="24" customHeight="1"/>
    <row r="4">
      <c r="A4" s="66" t="inlineStr">
        <is>
          <t>Rule ID</t>
        </is>
      </c>
      <c r="B4" s="66" t="inlineStr">
        <is>
          <t>Enabled</t>
        </is>
      </c>
      <c r="C4" s="66" t="inlineStr">
        <is>
          <t>Business scenario</t>
        </is>
      </c>
      <c r="D4" s="66" t="inlineStr">
        <is>
          <t>Energy type</t>
        </is>
      </c>
      <c r="E4" s="66" t="inlineStr">
        <is>
          <t>Anomaly type</t>
        </is>
      </c>
      <c r="F4" s="66" t="inlineStr">
        <is>
          <t>Metric / checkpoint</t>
        </is>
      </c>
      <c r="G4" s="66" t="inlineStr">
        <is>
          <t>Alert threshold</t>
        </is>
      </c>
      <c r="H4" s="66" t="inlineStr">
        <is>
          <t>Severe threshold</t>
        </is>
      </c>
      <c r="I4" s="66" t="inlineStr">
        <is>
          <t>Calculation basis</t>
        </is>
      </c>
      <c r="J4" s="66" t="inlineStr">
        <is>
          <t>Applicable objects</t>
        </is>
      </c>
      <c r="K4" s="66" t="inlineStr">
        <is>
          <t>Recommended action</t>
        </is>
      </c>
      <c r="L4" s="66" t="inlineStr">
        <is>
          <t>SLA hours</t>
        </is>
      </c>
      <c r="M4" s="66" t="inlineStr">
        <is>
          <t>Responsible role</t>
        </is>
      </c>
    </row>
    <row r="5">
      <c r="A5" t="inlineStr">
        <is>
          <t>R001</t>
        </is>
      </c>
      <c r="B5" t="inlineStr">
        <is>
          <t>Yes</t>
        </is>
      </c>
      <c r="C5" t="inlineStr">
        <is>
          <t>All</t>
        </is>
      </c>
      <c r="D5" t="inlineStr">
        <is>
          <t>Electricity</t>
        </is>
      </c>
      <c r="E5" t="inlineStr">
        <is>
          <t>Usage spike</t>
        </is>
      </c>
      <c r="F5" t="inlineStr">
        <is>
          <t>日环比偏差</t>
        </is>
      </c>
      <c r="G5" t="inlineStr">
        <is>
          <t>20%</t>
        </is>
      </c>
      <c r="H5" t="inlineStr">
        <is>
          <t>50%</t>
        </is>
      </c>
      <c r="I5" t="inlineStr">
        <is>
          <t>同计量点近7日均值对比</t>
        </is>
      </c>
      <c r="J5" t="inlineStr">
        <is>
          <t>AllElectricity表/回路</t>
        </is>
      </c>
      <c r="K5" t="inlineStr">
        <is>
          <t>核查空调、照明、生产设备、PeakOff-peak策略与临时负荷</t>
        </is>
      </c>
      <c r="L5" t="n">
        <v>24</v>
      </c>
      <c r="M5" t="inlineStr">
        <is>
          <t>Electrical / equipment supervisor</t>
        </is>
      </c>
    </row>
    <row r="6">
      <c r="A6" t="inlineStr">
        <is>
          <t>R002</t>
        </is>
      </c>
      <c r="B6" t="inlineStr">
        <is>
          <t>Yes</t>
        </is>
      </c>
      <c r="C6" t="inlineStr">
        <is>
          <t>All</t>
        </is>
      </c>
      <c r="D6" t="inlineStr">
        <is>
          <t>Water</t>
        </is>
      </c>
      <c r="E6" t="inlineStr">
        <is>
          <t>Usage spike</t>
        </is>
      </c>
      <c r="F6" t="inlineStr">
        <is>
          <t>日环比偏差</t>
        </is>
      </c>
      <c r="G6" t="inlineStr">
        <is>
          <t>15%</t>
        </is>
      </c>
      <c r="H6" t="inlineStr">
        <is>
          <t>40%</t>
        </is>
      </c>
      <c r="I6" t="inlineStr">
        <is>
          <t>同计量点近7日均值对比</t>
        </is>
      </c>
      <c r="J6" t="inlineStr">
        <is>
          <t>Water表/管网/卫生间</t>
        </is>
      </c>
      <c r="K6" t="inlineStr">
        <is>
          <t>检查阀门、管网、卫生间、冷却塔补Water与夜间流Water</t>
        </is>
      </c>
      <c r="L6" t="n">
        <v>12</v>
      </c>
      <c r="M6" t="inlineStr">
        <is>
          <t>Water / property supervisor</t>
        </is>
      </c>
    </row>
    <row r="7">
      <c r="A7" t="inlineStr">
        <is>
          <t>R003</t>
        </is>
      </c>
      <c r="B7" t="inlineStr">
        <is>
          <t>Yes</t>
        </is>
      </c>
      <c r="C7" t="inlineStr">
        <is>
          <t>All</t>
        </is>
      </c>
      <c r="D7" t="inlineStr">
        <is>
          <t>Gas</t>
        </is>
      </c>
      <c r="E7" t="inlineStr">
        <is>
          <t>Usage spike</t>
        </is>
      </c>
      <c r="F7" t="inlineStr">
        <is>
          <t>日环比偏差</t>
        </is>
      </c>
      <c r="G7" t="inlineStr">
        <is>
          <t>18%</t>
        </is>
      </c>
      <c r="H7" t="inlineStr">
        <is>
          <t>45%</t>
        </is>
      </c>
      <c r="I7" t="inlineStr">
        <is>
          <t>同计量点近7日均值对比</t>
        </is>
      </c>
      <c r="J7" t="inlineStr">
        <is>
          <t>燃Gas总表/锅炉/厨房</t>
        </is>
      </c>
      <c r="K7" t="inlineStr">
        <is>
          <t>核查燃Gas阀门、锅炉燃烧、厨房排班与泄漏风险</t>
        </is>
      </c>
      <c r="L7" t="n">
        <v>8</v>
      </c>
      <c r="M7" t="inlineStr">
        <is>
          <t>Utilities / safety supervisor</t>
        </is>
      </c>
    </row>
    <row r="8">
      <c r="A8" t="inlineStr">
        <is>
          <t>R004</t>
        </is>
      </c>
      <c r="B8" t="inlineStr">
        <is>
          <t>Yes</t>
        </is>
      </c>
      <c r="C8" t="inlineStr">
        <is>
          <t>Office building / headquarters campus</t>
        </is>
      </c>
      <c r="D8" t="inlineStr">
        <is>
          <t>Electricity</t>
        </is>
      </c>
      <c r="E8" t="inlineStr">
        <is>
          <t>Night anomaly</t>
        </is>
      </c>
      <c r="F8" t="inlineStr">
        <is>
          <t>低负荷时段用Electricity</t>
        </is>
      </c>
      <c r="G8" t="inlineStr">
        <is>
          <t>&gt;5kWh</t>
        </is>
      </c>
      <c r="H8" t="inlineStr">
        <is>
          <t>&gt;20kWh</t>
        </is>
      </c>
      <c r="I8" t="inlineStr">
        <is>
          <t>低负荷/夜间时段用量</t>
        </is>
      </c>
      <c r="J8" t="inlineStr">
        <is>
          <t>照明/空调/插座回路</t>
        </is>
      </c>
      <c r="K8" t="inlineStr">
        <is>
          <t>核查下班关停、保洁/加班计划与自控策略</t>
        </is>
      </c>
      <c r="L8" t="n">
        <v>24</v>
      </c>
      <c r="M8" t="inlineStr">
        <is>
          <t>Property supervisor</t>
        </is>
      </c>
    </row>
    <row r="9">
      <c r="A9" t="inlineStr">
        <is>
          <t>R005</t>
        </is>
      </c>
      <c r="B9" t="inlineStr">
        <is>
          <t>Yes</t>
        </is>
      </c>
      <c r="C9" t="inlineStr">
        <is>
          <t>Commercial complex / office building</t>
        </is>
      </c>
      <c r="D9" t="inlineStr">
        <is>
          <t>Water</t>
        </is>
      </c>
      <c r="E9" t="inlineStr">
        <is>
          <t>High restaurant water use</t>
        </is>
      </c>
      <c r="F9" t="inlineStr">
        <is>
          <t>租户/业态日用Water</t>
        </is>
      </c>
      <c r="G9" t="inlineStr">
        <is>
          <t>15%</t>
        </is>
      </c>
      <c r="H9" t="inlineStr">
        <is>
          <t>40%</t>
        </is>
      </c>
      <c r="I9" t="inlineStr">
        <is>
          <t>同租户历史均值或同业态均值</t>
        </is>
      </c>
      <c r="J9" t="inlineStr">
        <is>
          <t>餐饮租户</t>
        </is>
      </c>
      <c r="K9" t="inlineStr">
        <is>
          <t>通知租户自查后厨、地漏、制冰机和阀门</t>
        </is>
      </c>
      <c r="L9" t="n">
        <v>12</v>
      </c>
      <c r="M9" t="inlineStr">
        <is>
          <t>Tenant operations manager</t>
        </is>
      </c>
    </row>
    <row r="10">
      <c r="A10" t="inlineStr">
        <is>
          <t>R006</t>
        </is>
      </c>
      <c r="B10" t="inlineStr">
        <is>
          <t>Yes</t>
        </is>
      </c>
      <c r="C10" t="inlineStr">
        <is>
          <t>Industrial park / factory</t>
        </is>
      </c>
      <c r="D10" t="inlineStr">
        <is>
          <t>Electricity</t>
        </is>
      </c>
      <c r="E10" t="inlineStr">
        <is>
          <t>Unit product overrun</t>
        </is>
      </c>
      <c r="F10" t="inlineStr">
        <is>
          <t>kWh/产量</t>
        </is>
      </c>
      <c r="G10" t="inlineStr">
        <is>
          <t>&gt;目标值</t>
        </is>
      </c>
      <c r="H10" t="inlineStr">
        <is>
          <t>&gt;目标值*1.5</t>
        </is>
      </c>
      <c r="I10" t="inlineStr">
        <is>
          <t>用量/产量或业务量</t>
        </is>
      </c>
      <c r="J10" t="inlineStr">
        <is>
          <t>产线/车间</t>
        </is>
      </c>
      <c r="K10" t="inlineStr">
        <is>
          <t>联动MES排产，核查设备空转、工艺温度与压缩空Gas</t>
        </is>
      </c>
      <c r="L10" t="n">
        <v>24</v>
      </c>
      <c r="M10" t="inlineStr">
        <is>
          <t>Production / energy manager</t>
        </is>
      </c>
    </row>
    <row r="11">
      <c r="A11" t="inlineStr">
        <is>
          <t>R007</t>
        </is>
      </c>
      <c r="B11" t="inlineStr">
        <is>
          <t>Yes</t>
        </is>
      </c>
      <c r="C11" t="inlineStr">
        <is>
          <t>Hotel / serviced apartment</t>
        </is>
      </c>
      <c r="D11" t="inlineStr">
        <is>
          <t>Water</t>
        </is>
      </c>
      <c r="E11" t="inlineStr">
        <is>
          <t>Water use while vacant</t>
        </is>
      </c>
      <c r="F11" t="inlineStr">
        <is>
          <t>空置房间Water耗</t>
        </is>
      </c>
      <c r="G11" t="inlineStr">
        <is>
          <t>&gt;0.5m³</t>
        </is>
      </c>
      <c r="H11" t="inlineStr">
        <is>
          <t>&gt;2m³</t>
        </is>
      </c>
      <c r="I11" t="inlineStr">
        <is>
          <t>客房Status/租户Status关联</t>
        </is>
      </c>
      <c r="J11" t="inlineStr">
        <is>
          <t>客房/公寓</t>
        </is>
      </c>
      <c r="K11" t="inlineStr">
        <is>
          <t>核查马桶、Water龙头、HeatWater管路和入住Status</t>
        </is>
      </c>
      <c r="L11" t="n">
        <v>12</v>
      </c>
      <c r="M11" t="inlineStr">
        <is>
          <t>Rooms / property supervisor</t>
        </is>
      </c>
    </row>
    <row r="12">
      <c r="A12" t="inlineStr">
        <is>
          <t>R008</t>
        </is>
      </c>
      <c r="B12" t="inlineStr">
        <is>
          <t>Yes</t>
        </is>
      </c>
      <c r="C12" t="inlineStr">
        <is>
          <t>Data center / server room</t>
        </is>
      </c>
      <c r="D12" t="inlineStr">
        <is>
          <t>Cooling</t>
        </is>
      </c>
      <c r="E12" t="inlineStr">
        <is>
          <t>Cooling efficiency decline</t>
        </is>
      </c>
      <c r="F12" t="inlineStr">
        <is>
          <t>Cooling/IT负载</t>
        </is>
      </c>
      <c r="G12" t="inlineStr">
        <is>
          <t>15%</t>
        </is>
      </c>
      <c r="H12" t="inlineStr">
        <is>
          <t>35%</t>
        </is>
      </c>
      <c r="I12" t="inlineStr">
        <is>
          <t>Cooling与IT负载相关性</t>
        </is>
      </c>
      <c r="J12" t="inlineStr">
        <is>
          <t>Chiller plant/精密空调</t>
        </is>
      </c>
      <c r="K12" t="inlineStr">
        <is>
          <t>核查冷冻Water温、过滤器、阀门、机柜冷Heat通道</t>
        </is>
      </c>
      <c r="L12" t="n">
        <v>4</v>
      </c>
      <c r="M12" t="inlineStr">
        <is>
          <t>Data center operations supervisor</t>
        </is>
      </c>
    </row>
    <row r="13">
      <c r="A13" t="inlineStr">
        <is>
          <t>R009</t>
        </is>
      </c>
      <c r="B13" t="inlineStr">
        <is>
          <t>Yes</t>
        </is>
      </c>
      <c r="C13" t="inlineStr">
        <is>
          <t>Municipal / water supply zone</t>
        </is>
      </c>
      <c r="D13" t="inlineStr">
        <is>
          <t>Water</t>
        </is>
      </c>
      <c r="E13" t="inlineStr">
        <is>
          <t>夜间最小流量</t>
        </is>
      </c>
      <c r="F13" t="inlineStr">
        <is>
          <t>夜间连续流量</t>
        </is>
      </c>
      <c r="G13" t="inlineStr">
        <is>
          <t>&gt;0.5m³/h</t>
        </is>
      </c>
      <c r="H13" t="inlineStr">
        <is>
          <t>&gt;2m³/h</t>
        </is>
      </c>
      <c r="I13" t="inlineStr">
        <is>
          <t>00:00-06:00连续流量</t>
        </is>
      </c>
      <c r="J13" t="inlineStr">
        <is>
          <t>DMA分区/管网</t>
        </is>
      </c>
      <c r="K13" t="inlineStr">
        <is>
          <t>安排检漏、阀门分段测试与压力核查</t>
        </is>
      </c>
      <c r="L13" t="n">
        <v>24</v>
      </c>
      <c r="M13" t="inlineStr">
        <is>
          <t>Water inspection supervisor</t>
        </is>
      </c>
    </row>
    <row r="14">
      <c r="A14" t="inlineStr">
        <is>
          <t>R010</t>
        </is>
      </c>
      <c r="B14" t="inlineStr">
        <is>
          <t>Yes</t>
        </is>
      </c>
      <c r="C14" t="inlineStr">
        <is>
          <t>All</t>
        </is>
      </c>
      <c r="D14" t="inlineStr">
        <is>
          <t>Integrated energy use</t>
        </is>
      </c>
      <c r="E14" t="inlineStr">
        <is>
          <t>碳排/预算超限</t>
        </is>
      </c>
      <c r="F14" t="inlineStr">
        <is>
          <t>碳排强度或预算达成率</t>
        </is>
      </c>
      <c r="G14" t="inlineStr">
        <is>
          <t>10%</t>
        </is>
      </c>
      <c r="H14" t="inlineStr">
        <is>
          <t>30%</t>
        </is>
      </c>
      <c r="I14" t="inlineStr">
        <is>
          <t>按区域/Company对比目标</t>
        </is>
      </c>
      <c r="J14" t="inlineStr">
        <is>
          <t>集团/分Company</t>
        </is>
      </c>
      <c r="K14" t="inlineStr">
        <is>
          <t>核查能源结构、预算执行和High耗能环节</t>
        </is>
      </c>
      <c r="L14" t="n">
        <v>72</v>
      </c>
      <c r="M14" t="inlineStr">
        <is>
          <t>ESG / energy owner</t>
        </is>
      </c>
    </row>
  </sheetData>
  <mergeCells count="1">
    <mergeCell ref="A1:M1"/>
  </mergeCells>
  <dataValidations count="3">
    <dataValidation sqref="B5:B34" showDropDown="0" showInputMessage="0" showErrorMessage="0" allowBlank="0" type="list">
      <formula1>"Yes,否"</formula1>
    </dataValidation>
    <dataValidation sqref="C5:C34" showDropDown="0" showInputMessage="0" showErrorMessage="0" allowBlank="0" type="list">
      <formula1>Base Settings!$M$13:$M$21</formula1>
    </dataValidation>
    <dataValidation sqref="D5:D34" showDropDown="0" showInputMessage="0" showErrorMessage="0" allowBlank="0" type="list">
      <formula1>Base Settings!$S$13:$S$19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20" customWidth="1" min="1" max="1"/>
    <col width="32" customWidth="1" min="2" max="2"/>
    <col width="34" customWidth="1" min="3" max="3"/>
    <col width="42" customWidth="1" min="4" max="4"/>
    <col width="42" customWidth="1" min="5" max="5"/>
    <col width="34" customWidth="1" min="6" max="6"/>
  </cols>
  <sheetData>
    <row r="1" ht="34" customHeight="1">
      <c r="A1" s="61" t="inlineStr">
        <is>
          <t>Business Scenario Library</t>
        </is>
      </c>
      <c r="B1" s="1" t="n"/>
      <c r="C1" s="1" t="n"/>
      <c r="D1" s="1" t="n"/>
      <c r="E1" s="1" t="n"/>
      <c r="F1" s="1" t="n"/>
    </row>
    <row r="2" ht="24" customHeight="1"/>
    <row r="3" ht="24" customHeight="1">
      <c r="A3" s="54" t="inlineStr">
        <is>
          <t>Business scenario</t>
        </is>
      </c>
      <c r="B3" s="54" t="inlineStr">
        <is>
          <t>Main objects</t>
        </is>
      </c>
      <c r="C3" s="54" t="inlineStr">
        <is>
          <t>Key metrics</t>
        </is>
      </c>
      <c r="D3" s="54" t="inlineStr">
        <is>
          <t>Common anomalies</t>
        </is>
      </c>
      <c r="E3" s="54" t="inlineStr">
        <is>
          <t>Alert action</t>
        </is>
      </c>
      <c r="F3" s="54" t="inlineStr">
        <is>
          <t>Management focus</t>
        </is>
      </c>
    </row>
    <row r="4">
      <c r="A4" t="inlineStr">
        <is>
          <t>Office building / headquarters campus</t>
        </is>
      </c>
      <c r="B4" t="inlineStr">
        <is>
          <t>楼栋、楼层、会议室、餐厅、空调/照明回路</t>
        </is>
      </c>
      <c r="C4" t="inlineStr">
        <is>
          <t>Unit面积Electricity耗、人均Water耗、夜间低负荷用量</t>
        </is>
      </c>
      <c r="D4" t="inlineStr">
        <is>
          <t>长明灯、无人空调、夜间持续流Water、周末异常用Electricity</t>
        </is>
      </c>
      <c r="E4" t="inlineStr">
        <is>
          <t>推送物业/行政；核查排班、空调时段与阀门</t>
        </is>
      </c>
      <c r="F4" t="inlineStr">
        <is>
          <t>节能行为、分区责任、公共区域成本</t>
        </is>
      </c>
    </row>
    <row r="5">
      <c r="A5" t="inlineStr">
        <is>
          <t>Commercial complex / office building</t>
        </is>
      </c>
      <c r="B5" t="inlineStr">
        <is>
          <t>租户、商铺、公区、餐饮、影院、停车场</t>
        </is>
      </c>
      <c r="C5" t="inlineStr">
        <is>
          <t>分户能耗、公摊能耗、餐饮HighPeak用Water、租户费用</t>
        </is>
      </c>
      <c r="D5" t="inlineStr">
        <is>
          <t>租户Usage spike、公摊异常、餐饮漏Water、欠费/预付费不足</t>
        </is>
      </c>
      <c r="E5" t="inlineStr">
        <is>
          <t>定位租户/公区；生成账单差异与预警工单</t>
        </is>
      </c>
      <c r="F5" t="inlineStr">
        <is>
          <t>租户计费、公摊公Standard、收缴率</t>
        </is>
      </c>
    </row>
    <row r="6">
      <c r="A6" t="inlineStr">
        <is>
          <t>Industrial park / factory</t>
        </is>
      </c>
      <c r="B6" t="inlineStr">
        <is>
          <t>车间、产线、锅炉、空压机、Water泵、污Water站</t>
        </is>
      </c>
      <c r="C6" t="inlineStr">
        <is>
          <t>Unit产品能耗、PeakOff-peakElectricity量、设备单耗、班次能耗</t>
        </is>
      </c>
      <c r="D6" t="inlineStr">
        <is>
          <t>设备空转、产线单耗升High、燃Gas/Steam异常、读数停滞</t>
        </is>
      </c>
      <c r="E6" t="inlineStr">
        <is>
          <t>联动生产计划；派发设备/动力检修</t>
        </is>
      </c>
      <c r="F6" t="inlineStr">
        <is>
          <t>成本管控、产线效率、停机风险</t>
        </is>
      </c>
    </row>
    <row r="7">
      <c r="A7" t="inlineStr">
        <is>
          <t>School / hospital</t>
        </is>
      </c>
      <c r="B7" t="inlineStr">
        <is>
          <t>教学楼、宿舍、门诊/Inpatient building、实验室、HeatWater/空调</t>
        </is>
      </c>
      <c r="C7" t="inlineStr">
        <is>
          <t>楼宇能耗、假期低负荷、人均用Water、重点设备用能</t>
        </is>
      </c>
      <c r="D7" t="inlineStr">
        <is>
          <t>假期未关停、HeatWater泄漏、实验室异常用Electricity、空调策略失效</t>
        </is>
      </c>
      <c r="E7" t="inlineStr">
        <is>
          <t>按楼宇/科室Owner提醒；生成巡检清单</t>
        </is>
      </c>
      <c r="F7" t="inlineStr">
        <is>
          <t>绿色校园/医院、公共服务保障</t>
        </is>
      </c>
    </row>
    <row r="8">
      <c r="A8" t="inlineStr">
        <is>
          <t>Hotel / serviced apartment</t>
        </is>
      </c>
      <c r="B8" t="inlineStr">
        <is>
          <t>客房、租户、HeatWater、厨房、洗衣房、公共区</t>
        </is>
      </c>
      <c r="C8" t="inlineStr">
        <is>
          <t>房晚能耗、租户余额、HeatWater用量、低负荷漏损</t>
        </is>
      </c>
      <c r="D8" t="inlineStr">
        <is>
          <t>客房空置仍耗能、租户欠费、HeatWater泄漏、厨房用Gas突增</t>
        </is>
      </c>
      <c r="E8" t="inlineStr">
        <is>
          <t>联动入住率/租户账单；核查阀门和设备</t>
        </is>
      </c>
      <c r="F8" t="inlineStr">
        <is>
          <t>住客体验、预付费、精细计费</t>
        </is>
      </c>
    </row>
    <row r="9">
      <c r="A9" t="inlineStr">
        <is>
          <t>Data center / server room</t>
        </is>
      </c>
      <c r="B9" t="inlineStr">
        <is>
          <t>IT负载、UPS、Chiller plant、精密空调、PDU</t>
        </is>
      </c>
      <c r="C9" t="inlineStr">
        <is>
          <t>PUE、Cooling、Electricity力负载率、温湿度关联能耗</t>
        </is>
      </c>
      <c r="D9" t="inlineStr">
        <is>
          <t>Cooling efficiency decline、PDU负载突增、非IT负载异常</t>
        </is>
      </c>
      <c r="E9" t="inlineStr">
        <is>
          <t>通知机房运维；核查Chiller plant与机柜负载</t>
        </is>
      </c>
      <c r="F9" t="inlineStr">
        <is>
          <t>可靠性、容量规划、能效优化</t>
        </is>
      </c>
    </row>
    <row r="10">
      <c r="A10" t="inlineStr">
        <is>
          <t>Municipal / water supply zone</t>
        </is>
      </c>
      <c r="B10" t="inlineStr">
        <is>
          <t>DMA分区、泵站、阀门、管线、用户总表</t>
        </is>
      </c>
      <c r="C10" t="inlineStr">
        <is>
          <t>夜间最小流量、产销差、泵站Electricity耗、压力</t>
        </is>
      </c>
      <c r="D10" t="inlineStr">
        <is>
          <t>管网漏损、泵站空转、通信Medium断、表计异常</t>
        </is>
      </c>
      <c r="E10" t="inlineStr">
        <is>
          <t>安排巡检/检漏；跟踪闭环与节Water收益</t>
        </is>
      </c>
      <c r="F10" t="inlineStr">
        <is>
          <t>漏损控制、Water务运维</t>
        </is>
      </c>
    </row>
    <row r="11">
      <c r="A11" t="inlineStr">
        <is>
          <t>Multi-subsidiary group</t>
        </is>
      </c>
      <c r="B11" t="inlineStr">
        <is>
          <t>分Company、园区、事业部、区域、成本Medium心</t>
        </is>
      </c>
      <c r="C11" t="inlineStr">
        <is>
          <t>Integrated energy use、碳排、预算达成、同比/环比</t>
        </is>
      </c>
      <c r="D11" t="inlineStr">
        <is>
          <t>超预算、碳排超限、子Company横向偏离</t>
        </is>
      </c>
      <c r="E11" t="inlineStr">
        <is>
          <t>集团预警；分级派单与月度复盘</t>
        </is>
      </c>
      <c r="F11" t="inlineStr">
        <is>
          <t>预算、ESG、经营分析</t>
        </is>
      </c>
    </row>
  </sheetData>
  <mergeCells count="1">
    <mergeCell ref="A1:F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S21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0" customWidth="1" min="3" max="3"/>
    <col width="14" customWidth="1" min="4" max="4"/>
    <col width="12" customWidth="1" min="5" max="5"/>
    <col width="12" customWidth="1" min="6" max="6"/>
    <col width="12" customWidth="1" min="7" max="7"/>
    <col width="12" customWidth="1" min="8" max="8"/>
    <col width="14" customWidth="1" min="9" max="9"/>
    <col width="16" customWidth="1" min="10" max="10"/>
    <col width="20" customWidth="1" min="11" max="11"/>
    <col width="18" customWidth="1" min="13" max="13"/>
    <col width="18" customWidth="1" min="14" max="14"/>
    <col width="16" customWidth="1" min="15" max="15"/>
    <col width="16" customWidth="1" min="16" max="16"/>
    <col width="14" customWidth="1" min="17" max="17"/>
    <col width="20" customWidth="1" min="18" max="18"/>
    <col width="16" customWidth="1" min="19" max="19"/>
  </cols>
  <sheetData>
    <row r="1" ht="34" customHeight="1">
      <c r="A1" s="9" t="inlineStr">
        <is>
          <t>Base Settings / Drop-down Options / Thresholds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</row>
    <row r="2" ht="24" customHeight="1">
      <c r="A2" s="13" t="inlineStr">
        <is>
          <t>Purpose</t>
        </is>
      </c>
      <c r="B2" s="13" t="inlineStr">
        <is>
          <t>Maintain company name, reporting cycle, unit prices, carbon factors, anomaly thresholds, roles, and drop-down options first.</t>
        </is>
      </c>
      <c r="C2" s="13" t="n"/>
      <c r="D2" s="13" t="n"/>
      <c r="E2" s="13" t="n"/>
      <c r="F2" s="13" t="n"/>
      <c r="G2" s="13" t="n"/>
      <c r="H2" s="13" t="n"/>
      <c r="I2" s="13" t="n"/>
      <c r="J2" s="13" t="n"/>
      <c r="K2" s="13" t="n"/>
      <c r="L2" s="13" t="n"/>
      <c r="M2" s="13" t="n"/>
      <c r="N2" s="13" t="n"/>
      <c r="O2" s="13" t="n"/>
      <c r="P2" s="13" t="n"/>
      <c r="Q2" s="13" t="n"/>
      <c r="R2" s="13" t="n"/>
      <c r="S2" s="13" t="n"/>
    </row>
    <row r="3" ht="24" customHeight="1">
      <c r="A3" s="13" t="inlineStr">
        <is>
          <t>Tip</t>
        </is>
      </c>
      <c r="B3" s="13" t="inlineStr">
        <is>
          <t>Light yellow cells are recommended inputs. Blue-green headers are settings. Thresholds can be refined by industry or equipment type.</t>
        </is>
      </c>
      <c r="C3" s="13" t="n"/>
      <c r="D3" s="13" t="n"/>
      <c r="E3" s="13" t="n"/>
      <c r="F3" s="13" t="n"/>
      <c r="G3" s="13" t="n"/>
      <c r="H3" s="13" t="n"/>
      <c r="I3" s="13" t="n"/>
      <c r="J3" s="13" t="n"/>
      <c r="K3" s="13" t="n"/>
      <c r="L3" s="13" t="n"/>
      <c r="M3" s="13" t="n"/>
      <c r="N3" s="13" t="n"/>
      <c r="O3" s="13" t="n"/>
      <c r="P3" s="13" t="n"/>
      <c r="Q3" s="13" t="n"/>
      <c r="R3" s="13" t="n"/>
      <c r="S3" s="13" t="n"/>
    </row>
    <row r="5">
      <c r="A5" s="19" t="inlineStr">
        <is>
          <t>Default company name</t>
        </is>
      </c>
      <c r="B5" s="22" t="inlineStr">
        <is>
          <t>Example Group</t>
        </is>
      </c>
    </row>
    <row r="6">
      <c r="A6" s="19" t="inlineStr">
        <is>
          <t>Default reporting start</t>
        </is>
      </c>
      <c r="B6" s="135" t="n">
        <v>46113</v>
      </c>
    </row>
    <row r="7">
      <c r="A7" s="19" t="inlineStr">
        <is>
          <t>Default reporting end</t>
        </is>
      </c>
      <c r="B7" s="135" t="n">
        <v>46142</v>
      </c>
    </row>
    <row r="8">
      <c r="A8" s="19" t="inlineStr">
        <is>
          <t>Meter data rows</t>
        </is>
      </c>
      <c r="B8" s="22" t="n">
        <v>200</v>
      </c>
    </row>
    <row r="9">
      <c r="A9" s="19" t="inlineStr">
        <is>
          <t>Template version</t>
        </is>
      </c>
      <c r="B9" s="22" t="inlineStr">
        <is>
          <t>V1.0 通用版</t>
        </is>
      </c>
    </row>
    <row r="12">
      <c r="A12" s="30" t="inlineStr">
        <is>
          <t>Energy type</t>
        </is>
      </c>
      <c r="B12" s="30" t="inlineStr">
        <is>
          <t>Default unit</t>
        </is>
      </c>
      <c r="C12" s="30" t="inlineStr">
        <is>
          <t>Default unit price</t>
        </is>
      </c>
      <c r="D12" s="30" t="inlineStr">
        <is>
          <t>Carbon factor kgCO2e / unit</t>
        </is>
      </c>
      <c r="E12" s="30" t="inlineStr">
        <is>
          <t>Alert deviation %</t>
        </is>
      </c>
      <c r="F12" s="30" t="inlineStr">
        <is>
          <t>Severe deviation %</t>
        </is>
      </c>
      <c r="G12" s="30" t="inlineStr">
        <is>
          <t>Drop deviation %</t>
        </is>
      </c>
      <c r="H12" s="30" t="inlineStr">
        <is>
          <t>Area intensity threshold</t>
        </is>
      </c>
      <c r="I12" s="30" t="inlineStr">
        <is>
          <t>Business volume threshold</t>
        </is>
      </c>
      <c r="J12" s="30" t="inlineStr">
        <is>
          <t>Low-load / night threshold</t>
        </is>
      </c>
      <c r="K12" s="30" t="inlineStr">
        <is>
          <t>Default role</t>
        </is>
      </c>
      <c r="M12" s="44" t="inlineStr">
        <is>
          <t>Business scenario</t>
        </is>
      </c>
      <c r="N12" s="44" t="inlineStr">
        <is>
          <t>Status</t>
        </is>
      </c>
      <c r="O12" s="44" t="inlineStr">
        <is>
          <t>Data source</t>
        </is>
      </c>
      <c r="P12" s="44" t="inlineStr">
        <is>
          <t>Time band / shift</t>
        </is>
      </c>
      <c r="Q12" s="44" t="inlineStr">
        <is>
          <t>Risk level</t>
        </is>
      </c>
      <c r="R12" s="44" t="inlineStr">
        <is>
          <t>Root cause category</t>
        </is>
      </c>
      <c r="S12" s="44" t="inlineStr">
        <is>
          <t>Energy type list</t>
        </is>
      </c>
    </row>
    <row r="13">
      <c r="A13" t="inlineStr">
        <is>
          <t>Electricity</t>
        </is>
      </c>
      <c r="B13" t="inlineStr">
        <is>
          <t>kWh</t>
        </is>
      </c>
      <c r="C13" s="148" t="n">
        <v>0.85</v>
      </c>
      <c r="D13" s="148" t="n">
        <v>0.5703</v>
      </c>
      <c r="E13" s="149" t="n">
        <v>0.2</v>
      </c>
      <c r="F13" s="149" t="n">
        <v>0.5</v>
      </c>
      <c r="G13" s="149" t="n">
        <v>0.3</v>
      </c>
      <c r="H13" s="148" t="n">
        <v>12</v>
      </c>
      <c r="I13" s="148" t="n">
        <v>1.2</v>
      </c>
      <c r="J13" s="148" t="n">
        <v>5</v>
      </c>
      <c r="K13" t="inlineStr">
        <is>
          <t>Electrical / equipment supervisor</t>
        </is>
      </c>
      <c r="M13" t="inlineStr">
        <is>
          <t>All</t>
        </is>
      </c>
      <c r="N13" t="inlineStr">
        <is>
          <t>Open</t>
        </is>
      </c>
      <c r="O13" t="inlineStr">
        <is>
          <t>Automatic meter reading</t>
        </is>
      </c>
      <c r="P13" t="inlineStr">
        <is>
          <t>All day</t>
        </is>
      </c>
      <c r="Q13" t="inlineStr">
        <is>
          <t>Normal</t>
        </is>
      </c>
      <c r="R13" t="inlineStr">
        <is>
          <t>Not classified</t>
        </is>
      </c>
      <c r="S13" t="inlineStr">
        <is>
          <t>Electricity</t>
        </is>
      </c>
    </row>
    <row r="14">
      <c r="A14" t="inlineStr">
        <is>
          <t>Water</t>
        </is>
      </c>
      <c r="B14" t="inlineStr">
        <is>
          <t>m³</t>
        </is>
      </c>
      <c r="C14" s="148" t="n">
        <v>4.2</v>
      </c>
      <c r="D14" s="148" t="n">
        <v>0.0003</v>
      </c>
      <c r="E14" s="149" t="n">
        <v>0.15</v>
      </c>
      <c r="F14" s="149" t="n">
        <v>0.4</v>
      </c>
      <c r="G14" s="149" t="n">
        <v>0.3</v>
      </c>
      <c r="H14" s="148" t="n">
        <v>0.08</v>
      </c>
      <c r="I14" s="148" t="n">
        <v>0.02</v>
      </c>
      <c r="J14" s="148" t="n">
        <v>0.5</v>
      </c>
      <c r="K14" t="inlineStr">
        <is>
          <t>Water / property supervisor</t>
        </is>
      </c>
      <c r="M14" t="inlineStr">
        <is>
          <t>Office building / headquarters campus</t>
        </is>
      </c>
      <c r="N14" t="inlineStr">
        <is>
          <t>In progress</t>
        </is>
      </c>
      <c r="O14" t="inlineStr">
        <is>
          <t>Manual reading</t>
        </is>
      </c>
      <c r="P14" t="inlineStr">
        <is>
          <t>Critical peak</t>
        </is>
      </c>
      <c r="Q14" t="inlineStr">
        <is>
          <t>低</t>
        </is>
      </c>
      <c r="R14" t="inlineStr">
        <is>
          <t>Leakage</t>
        </is>
      </c>
      <c r="S14" t="inlineStr">
        <is>
          <t>Water</t>
        </is>
      </c>
    </row>
    <row r="15">
      <c r="A15" t="inlineStr">
        <is>
          <t>Gas</t>
        </is>
      </c>
      <c r="B15" t="inlineStr">
        <is>
          <t>m³</t>
        </is>
      </c>
      <c r="C15" s="148" t="n">
        <v>3.8</v>
      </c>
      <c r="D15" s="148" t="n">
        <v>2.1622</v>
      </c>
      <c r="E15" s="149" t="n">
        <v>0.18</v>
      </c>
      <c r="F15" s="149" t="n">
        <v>0.45</v>
      </c>
      <c r="G15" s="149" t="n">
        <v>0.3</v>
      </c>
      <c r="H15" s="148" t="n">
        <v>0.3</v>
      </c>
      <c r="I15" s="148" t="n">
        <v>0.06</v>
      </c>
      <c r="J15" s="148" t="n">
        <v>0.2</v>
      </c>
      <c r="K15" t="inlineStr">
        <is>
          <t>Utilities / safety supervisor</t>
        </is>
      </c>
      <c r="M15" t="inlineStr">
        <is>
          <t>Commercial complex / office building</t>
        </is>
      </c>
      <c r="N15" t="inlineStr">
        <is>
          <t>Closed</t>
        </is>
      </c>
      <c r="O15" t="inlineStr">
        <is>
          <t>Bill import</t>
        </is>
      </c>
      <c r="P15" t="inlineStr">
        <is>
          <t>Peak</t>
        </is>
      </c>
      <c r="Q15" t="inlineStr">
        <is>
          <t>Medium</t>
        </is>
      </c>
      <c r="R15" t="inlineStr">
        <is>
          <t>Equipment failure</t>
        </is>
      </c>
      <c r="S15" t="inlineStr">
        <is>
          <t>Gas</t>
        </is>
      </c>
    </row>
    <row r="16">
      <c r="A16" t="inlineStr">
        <is>
          <t>Heat</t>
        </is>
      </c>
      <c r="B16" t="inlineStr">
        <is>
          <t>GJ</t>
        </is>
      </c>
      <c r="C16" s="148" t="n">
        <v>75</v>
      </c>
      <c r="D16" s="148" t="n">
        <v>93</v>
      </c>
      <c r="E16" s="149" t="n">
        <v>0.18</v>
      </c>
      <c r="F16" s="149" t="n">
        <v>0.45</v>
      </c>
      <c r="G16" s="149" t="n">
        <v>0.3</v>
      </c>
      <c r="H16" s="148" t="n">
        <v>0.2</v>
      </c>
      <c r="I16" s="148" t="n">
        <v>0.04</v>
      </c>
      <c r="J16" s="148" t="n">
        <v>0.1</v>
      </c>
      <c r="K16" t="inlineStr">
        <is>
          <t>HVAC supervisor</t>
        </is>
      </c>
      <c r="M16" t="inlineStr">
        <is>
          <t>Industrial park / factory</t>
        </is>
      </c>
      <c r="N16" t="inlineStr">
        <is>
          <t>Ignored</t>
        </is>
      </c>
      <c r="O16" t="inlineStr">
        <is>
          <t>IoT platform import</t>
        </is>
      </c>
      <c r="P16" t="inlineStr">
        <is>
          <t>Standard</t>
        </is>
      </c>
      <c r="Q16" t="inlineStr">
        <is>
          <t>High</t>
        </is>
      </c>
      <c r="R16" t="inlineStr">
        <is>
          <t>Metering / communication anomaly</t>
        </is>
      </c>
      <c r="S16" t="inlineStr">
        <is>
          <t>Heat</t>
        </is>
      </c>
    </row>
    <row r="17">
      <c r="A17" t="inlineStr">
        <is>
          <t>Steam</t>
        </is>
      </c>
      <c r="B17" t="inlineStr">
        <is>
          <t>t</t>
        </is>
      </c>
      <c r="C17" s="148" t="n">
        <v>230</v>
      </c>
      <c r="D17" s="148" t="n">
        <v>230</v>
      </c>
      <c r="E17" s="149" t="n">
        <v>0.18</v>
      </c>
      <c r="F17" s="149" t="n">
        <v>0.45</v>
      </c>
      <c r="G17" s="149" t="n">
        <v>0.3</v>
      </c>
      <c r="H17" s="148" t="n">
        <v>0.16</v>
      </c>
      <c r="I17" s="148" t="n">
        <v>0.05</v>
      </c>
      <c r="J17" s="148" t="n">
        <v>0.1</v>
      </c>
      <c r="K17" t="inlineStr">
        <is>
          <t>Utilities supervisor</t>
        </is>
      </c>
      <c r="M17" t="inlineStr">
        <is>
          <t>School / hospital</t>
        </is>
      </c>
      <c r="N17" t="inlineStr">
        <is>
          <t>No action needed</t>
        </is>
      </c>
      <c r="O17" t="inlineStr">
        <is>
          <t>ERP / MES import</t>
        </is>
      </c>
      <c r="P17" t="inlineStr">
        <is>
          <t>Off-peak</t>
        </is>
      </c>
      <c r="Q17" t="inlineStr">
        <is>
          <t>Severe</t>
        </is>
      </c>
      <c r="R17" t="inlineStr">
        <is>
          <t>Shift / production fluctuation</t>
        </is>
      </c>
      <c r="S17" t="inlineStr">
        <is>
          <t>Steam</t>
        </is>
      </c>
    </row>
    <row r="18">
      <c r="A18" t="inlineStr">
        <is>
          <t>Cooling</t>
        </is>
      </c>
      <c r="B18" t="inlineStr">
        <is>
          <t>GJ</t>
        </is>
      </c>
      <c r="C18" s="148" t="n">
        <v>65</v>
      </c>
      <c r="D18" s="148" t="n">
        <v>45</v>
      </c>
      <c r="E18" s="149" t="n">
        <v>0.18</v>
      </c>
      <c r="F18" s="149" t="n">
        <v>0.45</v>
      </c>
      <c r="G18" s="149" t="n">
        <v>0.3</v>
      </c>
      <c r="H18" s="148" t="n">
        <v>0.25</v>
      </c>
      <c r="I18" s="148" t="n">
        <v>0.04</v>
      </c>
      <c r="J18" s="148" t="n">
        <v>0.1</v>
      </c>
      <c r="K18" t="inlineStr">
        <is>
          <t>HVAC supervisor</t>
        </is>
      </c>
      <c r="M18" t="inlineStr">
        <is>
          <t>Hotel / serviced apartment</t>
        </is>
      </c>
      <c r="O18" t="inlineStr">
        <is>
          <t>Tenant report</t>
        </is>
      </c>
      <c r="P18" t="inlineStr">
        <is>
          <t>Day shift</t>
        </is>
      </c>
      <c r="R18" t="inlineStr">
        <is>
          <t>Human waste</t>
        </is>
      </c>
      <c r="S18" t="inlineStr">
        <is>
          <t>Cooling</t>
        </is>
      </c>
    </row>
    <row r="19">
      <c r="A19" t="inlineStr">
        <is>
          <t>Integrated energy use</t>
        </is>
      </c>
      <c r="B19" t="inlineStr">
        <is>
          <t>kgce</t>
        </is>
      </c>
      <c r="C19" s="148" t="n">
        <v>1</v>
      </c>
      <c r="D19" s="148" t="n">
        <v>2.77</v>
      </c>
      <c r="E19" s="149" t="n">
        <v>0.2</v>
      </c>
      <c r="F19" s="149" t="n">
        <v>0.5</v>
      </c>
      <c r="G19" s="149" t="n">
        <v>0.3</v>
      </c>
      <c r="H19" s="148" t="n">
        <v>10</v>
      </c>
      <c r="I19" s="148" t="n">
        <v>1</v>
      </c>
      <c r="J19" s="148" t="n">
        <v>0</v>
      </c>
      <c r="K19" t="inlineStr">
        <is>
          <t>Energy management owner</t>
        </is>
      </c>
      <c r="M19" t="inlineStr">
        <is>
          <t>Data center / server room</t>
        </is>
      </c>
      <c r="P19" t="inlineStr">
        <is>
          <t>Night shift</t>
        </is>
      </c>
      <c r="R19" t="inlineStr">
        <is>
          <t>Pricing / billing anomaly</t>
        </is>
      </c>
      <c r="S19" t="inlineStr">
        <is>
          <t>Integrated energy use</t>
        </is>
      </c>
    </row>
    <row r="20">
      <c r="M20" t="inlineStr">
        <is>
          <t>Municipal / water supply zone</t>
        </is>
      </c>
      <c r="P20" t="inlineStr">
        <is>
          <t>低负荷/夜间</t>
        </is>
      </c>
      <c r="R20" t="inlineStr">
        <is>
          <t>Weather / traffic impact</t>
        </is>
      </c>
    </row>
    <row r="21">
      <c r="M21" t="inlineStr">
        <is>
          <t>Multi-subsidiary group</t>
        </is>
      </c>
      <c r="R21" t="inlineStr">
        <is>
          <t>Other</t>
        </is>
      </c>
    </row>
  </sheetData>
  <mergeCells count="1">
    <mergeCell ref="A1:S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24" customWidth="1" min="1" max="1"/>
    <col width="70" customWidth="1" min="2" max="2"/>
    <col width="60" customWidth="1" min="3" max="3"/>
    <col width="26" customWidth="1" min="4" max="4"/>
  </cols>
  <sheetData>
    <row r="1" ht="34" customHeight="1">
      <c r="A1" s="61" t="inlineStr">
        <is>
          <t>Instructions and Reference Sources</t>
        </is>
      </c>
      <c r="B1" s="1" t="n"/>
      <c r="C1" s="1" t="n"/>
      <c r="D1" s="1" t="n"/>
      <c r="E1" s="1" t="n"/>
      <c r="F1" s="1" t="n"/>
      <c r="G1" s="1" t="n"/>
      <c r="H1" s="1" t="n"/>
    </row>
    <row r="2" ht="24" customHeight="1">
      <c r="A2" t="inlineStr">
        <is>
          <t>Step</t>
        </is>
      </c>
      <c r="B2" t="inlineStr">
        <is>
          <t>Action</t>
        </is>
      </c>
      <c r="C2" t="inlineStr">
        <is>
          <t>Recommendation</t>
        </is>
      </c>
    </row>
    <row r="3" ht="24" customHeight="1">
      <c r="A3" s="30" t="inlineStr">
        <is>
          <t>1</t>
        </is>
      </c>
      <c r="B3" s="30" t="inlineStr">
        <is>
          <t>Maintain Base Settings</t>
        </is>
      </c>
      <c r="C3" s="30" t="inlineStr">
        <is>
          <t>Update company names, reporting periods, energy unit prices, carbon factors, alert thresholds, business scenarios, and owner roles.</t>
        </is>
      </c>
    </row>
    <row r="4">
      <c r="A4" t="inlineStr">
        <is>
          <t>2</t>
        </is>
      </c>
      <c r="B4" t="inlineStr">
        <is>
          <t>Enter or import Energy Data Input</t>
        </is>
      </c>
      <c r="C4" t="inlineStr">
        <is>
          <t>Daily, hourly, or monthly granularity can be used. Keep the same granularity within one analysis scope. Yellow columns are the main input fields.</t>
        </is>
      </c>
    </row>
    <row r="5">
      <c r="A5" t="inlineStr">
        <is>
          <t>3</t>
        </is>
      </c>
      <c r="B5" t="inlineStr">
        <is>
          <t>Review Anomaly Detection</t>
        </is>
      </c>
      <c r="C5" t="inlineStr">
        <is>
          <t>Prioritize records with Severe or High risk. Filter by energy type, scenario, and area when needed.</t>
        </is>
      </c>
    </row>
    <row r="6">
      <c r="A6" t="inlineStr">
        <is>
          <t>4</t>
        </is>
      </c>
      <c r="B6" t="inlineStr">
        <is>
          <t>Use Closed-loop Actions</t>
        </is>
      </c>
      <c r="C6" t="inlineStr">
        <is>
          <t>Create a work order from the anomaly ID, then maintain the owner, status, root cause, corrective action, and savings amount.</t>
        </is>
      </c>
    </row>
    <row r="7">
      <c r="A7" t="inlineStr">
        <is>
          <t>5</t>
        </is>
      </c>
      <c r="B7" t="inlineStr">
        <is>
          <t>Review Dashboard and Monthly Summary</t>
        </is>
      </c>
      <c r="C7" t="inlineStr">
        <is>
          <t>Use these pages for monthly operations review, cost allocation, energy-saving projects, ESG tracking, and carbon reporting.</t>
        </is>
      </c>
    </row>
    <row r="8">
      <c r="A8" t="inlineStr">
        <is>
          <t>Reference sources and basis</t>
        </is>
      </c>
      <c r="B8" t="inlineStr">
        <is>
          <t>URL</t>
        </is>
      </c>
      <c r="C8" t="inlineStr">
        <is>
          <t>Template adoption notes</t>
        </is>
      </c>
      <c r="D8" t="inlineStr">
        <is>
          <t>Notes</t>
        </is>
      </c>
    </row>
    <row r="9">
      <c r="A9" t="inlineStr">
        <is>
          <t>User-provided page</t>
        </is>
      </c>
      <c r="B9" t="inlineStr">
        <is>
          <t>http://localhost:2020/zh/excel-templates/facility-management/utility-consumption-anomaly-dashboard/</t>
        </is>
      </c>
      <c r="C9" t="inlineStr">
        <is>
          <t>Utility consumption anomaly alert topic. The local source page was not reachable from the execution environment, so the workbook was completed by following comparable system patterns.</t>
        </is>
      </c>
      <c r="D9" t="inlineStr">
        <is>
          <t>Confirm against the final user page when available.</t>
        </is>
      </c>
    </row>
    <row r="10">
      <c r="A10" s="44" t="inlineStr">
        <is>
          <t>Utility monitoring system</t>
        </is>
      </c>
      <c r="B10" s="44" t="inlineStr">
        <is>
          <t>https://www.yxhiot.com/article/1208.html</t>
        </is>
      </c>
      <c r="C10" s="44" t="inlineStr">
        <is>
          <t>Dashboard, trend charts, daily, monthly and yearly queries, anomaly thresholds, cost control, and multi-scenario use.</t>
        </is>
      </c>
      <c r="D10" s="44" t="inlineStr">
        <is>
          <t>Public page</t>
        </is>
      </c>
    </row>
    <row r="11">
      <c r="A11" t="inlineStr">
        <is>
          <t>Utility management platform</t>
        </is>
      </c>
      <c r="B11" t="inlineStr">
        <is>
          <t>https://www.szhzzd.com/h-nd-4725.html</t>
        </is>
      </c>
      <c r="C11" t="inlineStr">
        <is>
          <t>Multi-source device integration, real-time monitoring, tenant and category breakdowns, time-of-use analysis, anomaly recognition, cost settlement, and carbon accounting.</t>
        </is>
      </c>
      <c r="D11" t="inlineStr">
        <is>
          <t>Public page</t>
        </is>
      </c>
    </row>
    <row r="12">
      <c r="A12" t="inlineStr">
        <is>
          <t>Smart park energy management solution</t>
        </is>
      </c>
      <c r="B12" t="inlineStr">
        <is>
          <t>https://acrel.cn/nxpt/?id=99&amp;type=detail</t>
        </is>
      </c>
      <c r="C12" t="inlineStr">
        <is>
          <t>Custom reports, year-on-year and month-on-month comparison, analysis reports, anomaly alarms, dispatch, closed-loop handling, and carbon management.</t>
        </is>
      </c>
      <c r="D12" t="inlineStr">
        <is>
          <t>Public page</t>
        </is>
      </c>
    </row>
    <row r="13">
      <c r="A13" t="inlineStr">
        <is>
          <t>Energy monitoring management platform</t>
        </is>
      </c>
      <c r="B13" t="inlineStr">
        <is>
          <t>https://yuntonglvneng.com/productinfo/30894.html</t>
        </is>
      </c>
      <c r="C13" t="inlineStr">
        <is>
          <t>Category and itemized energy statistics, unit-area and per-person metrics, historical comparison, trend forecasting, and anomaly alarms.</t>
        </is>
      </c>
      <c r="D13" t="inlineStr">
        <is>
          <t>Public page</t>
        </is>
      </c>
    </row>
    <row r="14">
      <c r="A14" t="inlineStr">
        <is>
          <t>Energy monitoring system</t>
        </is>
      </c>
      <c r="B14" t="inlineStr">
        <is>
          <t>https://www.xlink.cn/pages/products/ems</t>
        </is>
      </c>
      <c r="C14" t="inlineStr">
        <is>
          <t>Covers electricity, water, gas, heat, and other energy types with category statistics, anomaly alerts, and equipment monitoring.</t>
        </is>
      </c>
      <c r="D14" t="inlineStr">
        <is>
          <t>Public page</t>
        </is>
      </c>
    </row>
    <row r="15"/>
    <row r="16"/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2026-05-05T14:31:18Z</dcterms:created>
  <dcterms:modified xmlns:dcterms="http://purl.org/dc/terms/" xmlns:xsi="http://www.w3.org/2001/XMLSchema-instance" xsi:type="dcterms:W3CDTF">2026-05-05T14:31:18Z</dcterms:modified>
</cp:coreProperties>
</file>