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worksheets/sheet7.xml" ContentType="application/vnd.openxmlformats-officedocument.spreadsheetml.worksheet+xml"/>
  <Override PartName="/xl/tables/table4.xml" ContentType="application/vnd.openxmlformats-officedocument.spreadsheetml.table+xml"/>
  <Override PartName="/xl/worksheets/sheet8.xml" ContentType="application/vnd.openxmlformats-officedocument.spreadsheetml.worksheet+xml"/>
  <Override PartName="/xl/tables/table5.xml" ContentType="application/vnd.openxmlformats-officedocument.spreadsheetml.table+xml"/>
  <Override PartName="/xl/worksheets/sheet9.xml" ContentType="application/vnd.openxmlformats-officedocument.spreadsheetml.worksheet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封面说明" sheetId="1" state="visible" r:id="rId1"/>
    <sheet xmlns:r="http://schemas.openxmlformats.org/officeDocument/2006/relationships" name="看板" sheetId="2" state="visible" r:id="rId2"/>
    <sheet xmlns:r="http://schemas.openxmlformats.org/officeDocument/2006/relationships" name="参数设置" sheetId="3" state="visible" r:id="rId3"/>
    <sheet xmlns:r="http://schemas.openxmlformats.org/officeDocument/2006/relationships" name="材料清单与损耗标准" sheetId="4" state="visible" r:id="rId4"/>
    <sheet xmlns:r="http://schemas.openxmlformats.org/officeDocument/2006/relationships" name="工程量与需求计划" sheetId="5" state="visible" r:id="rId5"/>
    <sheet xmlns:r="http://schemas.openxmlformats.org/officeDocument/2006/relationships" name="损耗分析台账" sheetId="6" state="visible" r:id="rId6"/>
    <sheet xmlns:r="http://schemas.openxmlformats.org/officeDocument/2006/relationships" name="精益采购计划" sheetId="7" state="visible" r:id="rId7"/>
    <sheet xmlns:r="http://schemas.openxmlformats.org/officeDocument/2006/relationships" name="库存与到货跟踪" sheetId="8" state="visible" r:id="rId8"/>
    <sheet xmlns:r="http://schemas.openxmlformats.org/officeDocument/2006/relationships" name="供应商评估" sheetId="9" state="visible" r:id="rId9"/>
  </sheets>
  <definedNames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0.000"/>
    <numFmt numFmtId="166" formatCode="¥#,##0.00"/>
    <numFmt numFmtId="167" formatCode="0.0"/>
  </numFmts>
  <fonts count="6">
    <font>
      <name val="Carlito"/>
      <sz val="11"/>
    </font>
    <font>
      <name val="Carlito"/>
      <b val="1"/>
      <color rgb="00FFFFFF"/>
      <sz val="16"/>
    </font>
    <font>
      <name val="Carlito"/>
      <b val="1"/>
      <color rgb="001F2937"/>
      <sz val="11"/>
    </font>
    <font>
      <name val="Carlito"/>
      <color rgb="007F1D1D"/>
      <sz val="11"/>
    </font>
    <font>
      <name val="Carlito"/>
      <b val="1"/>
      <color rgb="00FFFFFF"/>
      <sz val="11"/>
    </font>
    <font>
      <name val="Carlito"/>
      <color rgb="001F2937"/>
      <sz val="10"/>
    </font>
  </fonts>
  <fills count="9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2F0D9"/>
      </patternFill>
    </fill>
    <fill>
      <patternFill patternType="solid">
        <fgColor rgb="00FCE4D6"/>
      </patternFill>
    </fill>
    <fill>
      <patternFill patternType="solid">
        <fgColor rgb="002F75B5"/>
      </patternFill>
    </fill>
    <fill>
      <patternFill patternType="solid">
        <fgColor rgb="00D9EAF7"/>
      </patternFill>
    </fill>
    <fill>
      <patternFill patternType="solid">
        <fgColor rgb="00FFF2CC"/>
      </patternFill>
    </fill>
    <fill>
      <patternFill patternType="solid">
        <fgColor rgb="00F2F2F2"/>
      </patternFill>
    </fill>
  </fills>
  <borders count="2">
    <border/>
    <border/>
  </borders>
  <cellStyleXfs count="1">
    <xf numFmtId="0" fontId="0" fillId="0" borderId="1"/>
  </cellStyleXfs>
  <cellXfs count="150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center"/>
    </xf>
    <xf numFmtId="0" fontId="1" fillId="2" borderId="0" applyAlignment="1" pivotButton="0" quotePrefix="0" xfId="0">
      <alignment horizontal="center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0" fillId="3" borderId="0" pivotButton="0" quotePrefix="0" xfId="0"/>
    <xf numFmtId="0" fontId="2" fillId="3" borderId="0" pivotButton="0" quotePrefix="0" xfId="0"/>
    <xf numFmtId="0" fontId="2" fillId="3" borderId="0" applyAlignment="1" pivotButton="0" quotePrefix="0" xfId="0">
      <alignment horizontal="center"/>
    </xf>
    <xf numFmtId="0" fontId="2" fillId="3" borderId="0" applyAlignment="1" pivotButton="0" quotePrefix="0" xfId="0">
      <alignment horizontal="center" vertical="center"/>
    </xf>
    <xf numFmtId="0" fontId="0" fillId="3" borderId="1" pivotButton="0" quotePrefix="0" xfId="0"/>
    <xf numFmtId="0" fontId="2" fillId="3" borderId="1" pivotButton="0" quotePrefix="0" xfId="0"/>
    <xf numFmtId="0" fontId="2" fillId="3" borderId="1" applyAlignment="1" pivotButton="0" quotePrefix="0" xfId="0">
      <alignment horizontal="center"/>
    </xf>
    <xf numFmtId="0" fontId="2" fillId="3" borderId="1" applyAlignment="1" pivotButton="0" quotePrefix="0" xfId="0">
      <alignment horizontal="center" vertical="center"/>
    </xf>
    <xf numFmtId="0" fontId="0" fillId="0" borderId="0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0" fontId="0" fillId="4" borderId="0" applyAlignment="1" pivotButton="0" quotePrefix="0" xfId="0">
      <alignment wrapText="1"/>
    </xf>
    <xf numFmtId="0" fontId="3" fillId="4" borderId="0" applyAlignment="1" pivotButton="0" quotePrefix="0" xfId="0">
      <alignment wrapText="1"/>
    </xf>
    <xf numFmtId="0" fontId="3" fillId="4" borderId="0" applyAlignment="1" pivotButton="0" quotePrefix="0" xfId="0">
      <alignment vertical="center" wrapText="1"/>
    </xf>
    <xf numFmtId="0" fontId="0" fillId="4" borderId="1" applyAlignment="1" pivotButton="0" quotePrefix="0" xfId="0">
      <alignment wrapText="1"/>
    </xf>
    <xf numFmtId="0" fontId="3" fillId="4" borderId="1" applyAlignment="1" pivotButton="0" quotePrefix="0" xfId="0">
      <alignment wrapText="1"/>
    </xf>
    <xf numFmtId="0" fontId="3" fillId="4" borderId="1" applyAlignment="1" pivotButton="0" quotePrefix="0" xfId="0">
      <alignment vertical="center" wrapText="1"/>
    </xf>
    <xf numFmtId="0" fontId="2" fillId="3" borderId="0" applyAlignment="1" pivotButton="0" quotePrefix="0" xfId="0">
      <alignment horizontal="center" vertical="top"/>
    </xf>
    <xf numFmtId="0" fontId="0" fillId="0" borderId="0" applyAlignment="1" pivotButton="0" quotePrefix="0" xfId="0">
      <alignment vertical="top" wrapText="1"/>
    </xf>
    <xf numFmtId="0" fontId="3" fillId="4" borderId="0" applyAlignment="1" pivotButton="0" quotePrefix="0" xfId="0">
      <alignment vertical="top" wrapText="1"/>
    </xf>
    <xf numFmtId="0" fontId="2" fillId="3" borderId="1" applyAlignment="1" pivotButton="0" quotePrefix="0" xfId="0">
      <alignment horizontal="center" vertical="top"/>
    </xf>
    <xf numFmtId="0" fontId="0" fillId="0" borderId="1" applyAlignment="1" pivotButton="0" quotePrefix="0" xfId="0">
      <alignment vertical="top" wrapText="1"/>
    </xf>
    <xf numFmtId="0" fontId="3" fillId="4" borderId="1" applyAlignment="1" pivotButton="0" quotePrefix="0" xfId="0">
      <alignment vertical="top" wrapText="1"/>
    </xf>
    <xf numFmtId="0" fontId="0" fillId="5" borderId="0" pivotButton="0" quotePrefix="0" xfId="0"/>
    <xf numFmtId="0" fontId="4" fillId="5" borderId="0" pivotButton="0" quotePrefix="0" xfId="0"/>
    <xf numFmtId="0" fontId="4" fillId="5" borderId="0" applyAlignment="1" pivotButton="0" quotePrefix="0" xfId="0">
      <alignment wrapText="1"/>
    </xf>
    <xf numFmtId="0" fontId="4" fillId="5" borderId="0" applyAlignment="1" pivotButton="0" quotePrefix="0" xfId="0">
      <alignment horizontal="center" wrapText="1"/>
    </xf>
    <xf numFmtId="0" fontId="4" fillId="5" borderId="0" applyAlignment="1" pivotButton="0" quotePrefix="0" xfId="0">
      <alignment horizontal="center" vertical="center" wrapText="1"/>
    </xf>
    <xf numFmtId="0" fontId="0" fillId="5" borderId="1" pivotButton="0" quotePrefix="0" xfId="0"/>
    <xf numFmtId="0" fontId="4" fillId="5" borderId="1" pivotButton="0" quotePrefix="0" xfId="0"/>
    <xf numFmtId="0" fontId="4" fillId="5" borderId="1" applyAlignment="1" pivotButton="0" quotePrefix="0" xfId="0">
      <alignment wrapText="1"/>
    </xf>
    <xf numFmtId="0" fontId="4" fillId="5" borderId="1" applyAlignment="1" pivotButton="0" quotePrefix="0" xfId="0">
      <alignment horizontal="center" wrapText="1"/>
    </xf>
    <xf numFmtId="0" fontId="4" fillId="5" borderId="1" applyAlignment="1" pivotButton="0" quotePrefix="0" xfId="0">
      <alignment horizontal="center" vertical="center" wrapText="1"/>
    </xf>
    <xf numFmtId="0" fontId="0" fillId="6" borderId="0" pivotButton="0" quotePrefix="0" xfId="0"/>
    <xf numFmtId="0" fontId="5" fillId="6" borderId="0" pivotButton="0" quotePrefix="0" xfId="0"/>
    <xf numFmtId="0" fontId="5" fillId="6" borderId="0" applyAlignment="1" pivotButton="0" quotePrefix="0" xfId="0">
      <alignment wrapText="1"/>
    </xf>
    <xf numFmtId="0" fontId="5" fillId="6" borderId="0" applyAlignment="1" pivotButton="0" quotePrefix="0" xfId="0">
      <alignment vertical="center" wrapText="1"/>
    </xf>
    <xf numFmtId="0" fontId="0" fillId="6" borderId="1" pivotButton="0" quotePrefix="0" xfId="0"/>
    <xf numFmtId="0" fontId="5" fillId="6" borderId="1" pivotButton="0" quotePrefix="0" xfId="0"/>
    <xf numFmtId="0" fontId="5" fillId="6" borderId="1" applyAlignment="1" pivotButton="0" quotePrefix="0" xfId="0">
      <alignment wrapText="1"/>
    </xf>
    <xf numFmtId="0" fontId="5" fillId="6" borderId="1" applyAlignment="1" pivotButton="0" quotePrefix="0" xfId="0">
      <alignment vertical="center" wrapText="1"/>
    </xf>
    <xf numFmtId="0" fontId="0" fillId="7" borderId="0" pivotButton="0" quotePrefix="0" xfId="0"/>
    <xf numFmtId="0" fontId="0" fillId="7" borderId="1" pivotButton="0" quotePrefix="0" xfId="0"/>
    <xf numFmtId="10" fontId="0" fillId="7" borderId="0" pivotButton="0" quotePrefix="0" xfId="0"/>
    <xf numFmtId="10" fontId="0" fillId="7" borderId="1" pivotButton="0" quotePrefix="0" xfId="0"/>
    <xf numFmtId="164" fontId="0" fillId="7" borderId="0" pivotButton="0" quotePrefix="0" xfId="0"/>
    <xf numFmtId="164" fontId="0" fillId="7" borderId="1" pivotButton="0" quotePrefix="0" xfId="0"/>
    <xf numFmtId="0" fontId="0" fillId="7" borderId="0" applyAlignment="1" pivotButton="0" quotePrefix="0" xfId="0">
      <alignment wrapText="1"/>
    </xf>
    <xf numFmtId="10" fontId="0" fillId="7" borderId="0" applyAlignment="1" pivotButton="0" quotePrefix="0" xfId="0">
      <alignment wrapText="1"/>
    </xf>
    <xf numFmtId="164" fontId="0" fillId="7" borderId="0" applyAlignment="1" pivotButton="0" quotePrefix="0" xfId="0">
      <alignment wrapText="1"/>
    </xf>
    <xf numFmtId="0" fontId="0" fillId="7" borderId="1" applyAlignment="1" pivotButton="0" quotePrefix="0" xfId="0">
      <alignment wrapText="1"/>
    </xf>
    <xf numFmtId="10" fontId="0" fillId="7" borderId="1" applyAlignment="1" pivotButton="0" quotePrefix="0" xfId="0">
      <alignment wrapText="1"/>
    </xf>
    <xf numFmtId="164" fontId="0" fillId="7" borderId="1" applyAlignment="1" pivotButton="0" quotePrefix="0" xfId="0">
      <alignment wrapText="1"/>
    </xf>
    <xf numFmtId="165" fontId="0" fillId="7" borderId="0" pivotButton="0" quotePrefix="0" xfId="0"/>
    <xf numFmtId="165" fontId="0" fillId="7" borderId="1" pivotButton="0" quotePrefix="0" xfId="0"/>
    <xf numFmtId="1" fontId="0" fillId="7" borderId="0" pivotButton="0" quotePrefix="0" xfId="0"/>
    <xf numFmtId="1" fontId="0" fillId="7" borderId="1" pivotButton="0" quotePrefix="0" xfId="0"/>
    <xf numFmtId="166" fontId="0" fillId="7" borderId="0" pivotButton="0" quotePrefix="0" xfId="0"/>
    <xf numFmtId="166" fontId="0" fillId="7" borderId="1" pivotButton="0" quotePrefix="0" xfId="0"/>
    <xf numFmtId="0" fontId="1" fillId="2" borderId="0" applyAlignment="1" pivotButton="0" quotePrefix="0" xfId="0">
      <alignment horizontal="center" vertical="center" wrapText="1"/>
    </xf>
    <xf numFmtId="165" fontId="0" fillId="7" borderId="0" applyAlignment="1" pivotButton="0" quotePrefix="0" xfId="0">
      <alignment wrapText="1"/>
    </xf>
    <xf numFmtId="1" fontId="0" fillId="7" borderId="0" applyAlignment="1" pivotButton="0" quotePrefix="0" xfId="0">
      <alignment wrapText="1"/>
    </xf>
    <xf numFmtId="166" fontId="0" fillId="7" borderId="0" applyAlignment="1" pivotButton="0" quotePrefix="0" xfId="0">
      <alignment wrapText="1"/>
    </xf>
    <xf numFmtId="0" fontId="1" fillId="2" borderId="1" applyAlignment="1" pivotButton="0" quotePrefix="0" xfId="0">
      <alignment horizontal="center" vertical="center" wrapText="1"/>
    </xf>
    <xf numFmtId="165" fontId="0" fillId="7" borderId="1" applyAlignment="1" pivotButton="0" quotePrefix="0" xfId="0">
      <alignment wrapText="1"/>
    </xf>
    <xf numFmtId="1" fontId="0" fillId="7" borderId="1" applyAlignment="1" pivotButton="0" quotePrefix="0" xfId="0">
      <alignment wrapText="1"/>
    </xf>
    <xf numFmtId="166" fontId="0" fillId="7" borderId="1" applyAlignment="1" pivotButton="0" quotePrefix="0" xfId="0">
      <alignment wrapText="1"/>
    </xf>
    <xf numFmtId="10" fontId="0" fillId="3" borderId="0" pivotButton="0" quotePrefix="0" xfId="0"/>
    <xf numFmtId="10" fontId="0" fillId="3" borderId="1" pivotButton="0" quotePrefix="0" xfId="0"/>
    <xf numFmtId="4" fontId="0" fillId="3" borderId="0" pivotButton="0" quotePrefix="0" xfId="0"/>
    <xf numFmtId="4" fontId="0" fillId="3" borderId="1" pivotButton="0" quotePrefix="0" xfId="0"/>
    <xf numFmtId="0" fontId="0" fillId="3" borderId="0" applyAlignment="1" pivotButton="0" quotePrefix="0" xfId="0">
      <alignment wrapText="1"/>
    </xf>
    <xf numFmtId="4" fontId="0" fillId="3" borderId="0" applyAlignment="1" pivotButton="0" quotePrefix="0" xfId="0">
      <alignment wrapText="1"/>
    </xf>
    <xf numFmtId="10" fontId="0" fillId="3" borderId="0" applyAlignment="1" pivotButton="0" quotePrefix="0" xfId="0">
      <alignment wrapText="1"/>
    </xf>
    <xf numFmtId="0" fontId="0" fillId="3" borderId="1" applyAlignment="1" pivotButton="0" quotePrefix="0" xfId="0">
      <alignment wrapText="1"/>
    </xf>
    <xf numFmtId="4" fontId="0" fillId="3" borderId="1" applyAlignment="1" pivotButton="0" quotePrefix="0" xfId="0">
      <alignment wrapText="1"/>
    </xf>
    <xf numFmtId="10" fontId="0" fillId="3" borderId="1" applyAlignment="1" pivotButton="0" quotePrefix="0" xfId="0">
      <alignment wrapText="1"/>
    </xf>
    <xf numFmtId="4" fontId="0" fillId="7" borderId="0" pivotButton="0" quotePrefix="0" xfId="0"/>
    <xf numFmtId="4" fontId="0" fillId="7" borderId="1" pivotButton="0" quotePrefix="0" xfId="0"/>
    <xf numFmtId="166" fontId="0" fillId="3" borderId="0" pivotButton="0" quotePrefix="0" xfId="0"/>
    <xf numFmtId="166" fontId="0" fillId="3" borderId="1" pivotButton="0" quotePrefix="0" xfId="0"/>
    <xf numFmtId="4" fontId="0" fillId="7" borderId="0" applyAlignment="1" pivotButton="0" quotePrefix="0" xfId="0">
      <alignment wrapText="1"/>
    </xf>
    <xf numFmtId="166" fontId="0" fillId="3" borderId="0" applyAlignment="1" pivotButton="0" quotePrefix="0" xfId="0">
      <alignment wrapText="1"/>
    </xf>
    <xf numFmtId="4" fontId="0" fillId="7" borderId="1" applyAlignment="1" pivotButton="0" quotePrefix="0" xfId="0">
      <alignment wrapText="1"/>
    </xf>
    <xf numFmtId="166" fontId="0" fillId="3" borderId="1" applyAlignment="1" pivotButton="0" quotePrefix="0" xfId="0">
      <alignment wrapText="1"/>
    </xf>
    <xf numFmtId="164" fontId="0" fillId="3" borderId="0" pivotButton="0" quotePrefix="0" xfId="0"/>
    <xf numFmtId="164" fontId="0" fillId="3" borderId="1" pivotButton="0" quotePrefix="0" xfId="0"/>
    <xf numFmtId="164" fontId="0" fillId="3" borderId="0" applyAlignment="1" pivotButton="0" quotePrefix="0" xfId="0">
      <alignment wrapText="1"/>
    </xf>
    <xf numFmtId="164" fontId="0" fillId="3" borderId="1" applyAlignment="1" pivotButton="0" quotePrefix="0" xfId="0">
      <alignment wrapText="1"/>
    </xf>
    <xf numFmtId="167" fontId="0" fillId="7" borderId="0" pivotButton="0" quotePrefix="0" xfId="0"/>
    <xf numFmtId="167" fontId="0" fillId="3" borderId="0" pivotButton="0" quotePrefix="0" xfId="0"/>
    <xf numFmtId="167" fontId="0" fillId="7" borderId="1" pivotButton="0" quotePrefix="0" xfId="0"/>
    <xf numFmtId="167" fontId="0" fillId="3" borderId="1" pivotButton="0" quotePrefix="0" xfId="0"/>
    <xf numFmtId="167" fontId="0" fillId="7" borderId="0" applyAlignment="1" pivotButton="0" quotePrefix="0" xfId="0">
      <alignment wrapText="1"/>
    </xf>
    <xf numFmtId="167" fontId="0" fillId="3" borderId="0" applyAlignment="1" pivotButton="0" quotePrefix="0" xfId="0">
      <alignment wrapText="1"/>
    </xf>
    <xf numFmtId="167" fontId="0" fillId="7" borderId="1" applyAlignment="1" pivotButton="0" quotePrefix="0" xfId="0">
      <alignment wrapText="1"/>
    </xf>
    <xf numFmtId="167" fontId="0" fillId="3" borderId="1" applyAlignment="1" pivotButton="0" quotePrefix="0" xfId="0">
      <alignment wrapText="1"/>
    </xf>
    <xf numFmtId="0" fontId="0" fillId="8" borderId="0" pivotButton="0" quotePrefix="0" xfId="0"/>
    <xf numFmtId="0" fontId="2" fillId="8" borderId="0" pivotButton="0" quotePrefix="0" xfId="0"/>
    <xf numFmtId="0" fontId="2" fillId="8" borderId="0" applyAlignment="1" pivotButton="0" quotePrefix="0" xfId="0">
      <alignment vertical="center"/>
    </xf>
    <xf numFmtId="0" fontId="0" fillId="8" borderId="1" pivotButton="0" quotePrefix="0" xfId="0"/>
    <xf numFmtId="0" fontId="2" fillId="8" borderId="1" pivotButton="0" quotePrefix="0" xfId="0"/>
    <xf numFmtId="0" fontId="2" fillId="8" borderId="1" applyAlignment="1" pivotButton="0" quotePrefix="0" xfId="0">
      <alignment vertical="center"/>
    </xf>
    <xf numFmtId="166" fontId="2" fillId="8" borderId="0" applyAlignment="1" pivotButton="0" quotePrefix="0" xfId="0">
      <alignment vertical="center"/>
    </xf>
    <xf numFmtId="166" fontId="2" fillId="8" borderId="1" applyAlignment="1" pivotButton="0" quotePrefix="0" xfId="0">
      <alignment vertical="center"/>
    </xf>
    <xf numFmtId="10" fontId="2" fillId="8" borderId="0" applyAlignment="1" pivotButton="0" quotePrefix="0" xfId="0">
      <alignment vertical="center"/>
    </xf>
    <xf numFmtId="10" fontId="2" fillId="8" borderId="1" applyAlignment="1" pivotButton="0" quotePrefix="0" xfId="0">
      <alignment vertical="center"/>
    </xf>
    <xf numFmtId="1" fontId="2" fillId="8" borderId="0" applyAlignment="1" pivotButton="0" quotePrefix="0" xfId="0">
      <alignment vertical="center"/>
    </xf>
    <xf numFmtId="1" fontId="2" fillId="8" borderId="1" applyAlignment="1" pivotButton="0" quotePrefix="0" xfId="0">
      <alignment vertical="center"/>
    </xf>
    <xf numFmtId="166" fontId="0" fillId="0" borderId="0" pivotButton="0" quotePrefix="0" xfId="0"/>
    <xf numFmtId="166" fontId="0" fillId="0" borderId="1" pivotButton="0" quotePrefix="0" xfId="0"/>
    <xf numFmtId="4" fontId="0" fillId="0" borderId="0" pivotButton="0" quotePrefix="0" xfId="0"/>
    <xf numFmtId="4" fontId="0" fillId="0" borderId="1" pivotButton="0" quotePrefix="0" xfId="0"/>
    <xf numFmtId="1" fontId="0" fillId="0" borderId="0" pivotButton="0" quotePrefix="0" xfId="0"/>
    <xf numFmtId="1" fontId="0" fillId="0" borderId="1" pivotButton="0" quotePrefix="0" xfId="0"/>
    <xf numFmtId="0" fontId="2" fillId="3" borderId="0" applyAlignment="1" pivotButton="0" quotePrefix="0" xfId="0">
      <alignment horizontal="center" vertical="center" wrapText="1"/>
    </xf>
    <xf numFmtId="0" fontId="2" fillId="8" borderId="0" applyAlignment="1" pivotButton="0" quotePrefix="0" xfId="0">
      <alignment vertical="center" wrapText="1"/>
    </xf>
    <xf numFmtId="166" fontId="2" fillId="8" borderId="0" applyAlignment="1" pivotButton="0" quotePrefix="0" xfId="0">
      <alignment vertical="center" wrapText="1"/>
    </xf>
    <xf numFmtId="10" fontId="2" fillId="8" borderId="0" applyAlignment="1" pivotButton="0" quotePrefix="0" xfId="0">
      <alignment vertical="center" wrapText="1"/>
    </xf>
    <xf numFmtId="1" fontId="2" fillId="8" borderId="0" applyAlignment="1" pivotButton="0" quotePrefix="0" xfId="0">
      <alignment vertical="center" wrapText="1"/>
    </xf>
    <xf numFmtId="166" fontId="0" fillId="0" borderId="0" applyAlignment="1" pivotButton="0" quotePrefix="0" xfId="0">
      <alignment wrapText="1"/>
    </xf>
    <xf numFmtId="4" fontId="0" fillId="0" borderId="0" applyAlignment="1" pivotButton="0" quotePrefix="0" xfId="0">
      <alignment wrapText="1"/>
    </xf>
    <xf numFmtId="1" fontId="0" fillId="0" borderId="0" applyAlignment="1" pivotButton="0" quotePrefix="0" xfId="0">
      <alignment wrapText="1"/>
    </xf>
    <xf numFmtId="164" fontId="0" fillId="7" borderId="0" applyAlignment="1" pivotButton="0" quotePrefix="0" xfId="0">
      <alignment wrapText="1"/>
    </xf>
    <xf numFmtId="166" fontId="2" fillId="8" borderId="0" applyAlignment="1" pivotButton="0" quotePrefix="0" xfId="0">
      <alignment vertical="center" wrapText="1"/>
    </xf>
    <xf numFmtId="10" fontId="2" fillId="8" borderId="0" applyAlignment="1" pivotButton="0" quotePrefix="0" xfId="0">
      <alignment vertical="center" wrapText="1"/>
    </xf>
    <xf numFmtId="1" fontId="2" fillId="8" borderId="0" applyAlignment="1" pivotButton="0" quotePrefix="0" xfId="0">
      <alignment vertical="center" wrapText="1"/>
    </xf>
    <xf numFmtId="166" fontId="0" fillId="0" borderId="0" applyAlignment="1" pivotButton="0" quotePrefix="0" xfId="0">
      <alignment wrapText="1"/>
    </xf>
    <xf numFmtId="4" fontId="0" fillId="0" borderId="0" applyAlignment="1" pivotButton="0" quotePrefix="0" xfId="0">
      <alignment wrapText="1"/>
    </xf>
    <xf numFmtId="1" fontId="0" fillId="0" borderId="0" applyAlignment="1" pivotButton="0" quotePrefix="0" xfId="0">
      <alignment wrapText="1"/>
    </xf>
    <xf numFmtId="10" fontId="0" fillId="7" borderId="0" applyAlignment="1" pivotButton="0" quotePrefix="0" xfId="0">
      <alignment wrapText="1"/>
    </xf>
    <xf numFmtId="165" fontId="0" fillId="7" borderId="0" applyAlignment="1" pivotButton="0" quotePrefix="0" xfId="0">
      <alignment wrapText="1"/>
    </xf>
    <xf numFmtId="1" fontId="0" fillId="7" borderId="0" applyAlignment="1" pivotButton="0" quotePrefix="0" xfId="0">
      <alignment wrapText="1"/>
    </xf>
    <xf numFmtId="166" fontId="0" fillId="7" borderId="0" applyAlignment="1" pivotButton="0" quotePrefix="0" xfId="0">
      <alignment wrapText="1"/>
    </xf>
    <xf numFmtId="4" fontId="0" fillId="3" borderId="0" applyAlignment="1" pivotButton="0" quotePrefix="0" xfId="0">
      <alignment wrapText="1"/>
    </xf>
    <xf numFmtId="10" fontId="0" fillId="3" borderId="0" applyAlignment="1" pivotButton="0" quotePrefix="0" xfId="0">
      <alignment wrapText="1"/>
    </xf>
    <xf numFmtId="4" fontId="0" fillId="7" borderId="0" applyAlignment="1" pivotButton="0" quotePrefix="0" xfId="0">
      <alignment wrapText="1"/>
    </xf>
    <xf numFmtId="166" fontId="0" fillId="3" borderId="0" applyAlignment="1" pivotButton="0" quotePrefix="0" xfId="0">
      <alignment wrapText="1"/>
    </xf>
    <xf numFmtId="164" fontId="0" fillId="3" borderId="0" applyAlignment="1" pivotButton="0" quotePrefix="0" xfId="0">
      <alignment wrapText="1"/>
    </xf>
    <xf numFmtId="167" fontId="0" fillId="7" borderId="0" applyAlignment="1" pivotButton="0" quotePrefix="0" xfId="0">
      <alignment wrapText="1"/>
    </xf>
    <xf numFmtId="167" fontId="0" fillId="3" borderId="0" applyAlignment="1" pivotButton="0" quotePrefix="0" xfId="0">
      <alignment wrapText="1"/>
    </xf>
  </cellXfs>
  <cellStyles count="1">
    <cellStyle name="Normal" xfId="0"/>
  </cellStyles>
  <dxfs count="4">
    <dxf>
      <font>
        <color rgb="00990000"/>
      </font>
      <fill>
        <patternFill patternType="solid">
          <bgColor rgb="00F4CCCC"/>
        </patternFill>
      </fill>
    </dxf>
    <dxf>
      <font>
        <color rgb="00990000"/>
      </font>
      <fill>
        <patternFill patternType="solid">
          <bgColor rgb="00F4CCCC"/>
        </patternFill>
      </fill>
    </dxf>
    <dxf>
      <font>
        <color rgb="00990000"/>
      </font>
      <fill>
        <patternFill patternType="solid">
          <bgColor rgb="00F4CCCC"/>
        </patternFill>
      </fill>
    </dxf>
    <dxf>
      <font>
        <color rgb="009C6500"/>
      </font>
      <fill>
        <patternFill patternType="solid">
          <bgColor rgb="00FCE4D6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按材料类别预计采购金额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预计采购金额</v>
          </tx>
          <spPr>
            <a:ln xmlns:a="http://schemas.openxmlformats.org/drawingml/2006/main">
              <a:prstDash val="solid"/>
            </a:ln>
          </spPr>
          <cat>
            <strRef>
              <f>'看板'!$A$20:$A$29</f>
              <strCache>
                <ptCount val="0"/>
              </strCache>
            </strRef>
          </cat>
          <val>
            <numRef>
              <f>'看板'!$B$20:$B$29</f>
              <numCache>
                <formatCode>¥#,##0.00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按原因超耗金额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超耗金额</v>
          </tx>
          <spPr>
            <a:ln xmlns:a="http://schemas.openxmlformats.org/drawingml/2006/main">
              <a:prstDash val="solid"/>
            </a:ln>
          </spPr>
          <cat>
            <strRef>
              <f>'看板'!$E$20:$E$28</f>
              <strCache>
                <ptCount val="0"/>
              </strCache>
            </strRef>
          </cat>
          <val>
            <numRef>
              <f>'看板'!$F$20:$F$28</f>
              <numCache>
                <formatCode>¥#,##0.00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twoCellAnchor>
    <from>
      <col>7</col>
      <colOff>0</colOff>
      <row>3</row>
      <rowOff>0</rowOff>
    </from>
    <to>
      <col>14</col>
      <colOff>0</colOff>
      <row>18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7</col>
      <colOff>0</colOff>
      <row>19</row>
      <rowOff>0</rowOff>
    </from>
    <to>
      <col>14</col>
      <colOff>0</colOff>
      <row>34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</wsDr>
</file>

<file path=xl/tables/table1.xml><?xml version="1.0" encoding="utf-8"?>
<table xmlns="http://schemas.openxmlformats.org/spreadsheetml/2006/main" id="1" name="MaterialsTable" displayName="MaterialsTable" ref="A3:Q11" headerRowCount="1">
  <tableColumns count="17">
    <tableColumn id="1" name="材料编码"/>
    <tableColumn id="2" name="材料名称"/>
    <tableColumn id="3" name="类别"/>
    <tableColumn id="4" name="规格型号"/>
    <tableColumn id="5" name="单位"/>
    <tableColumn id="6" name="设计/预算单耗"/>
    <tableColumn id="7" name="标准损耗率"/>
    <tableColumn id="8" name="允许损耗上限"/>
    <tableColumn id="9" name="采购提前期(天)"/>
    <tableColumn id="10" name="最小起订量"/>
    <tableColumn id="11" name="包装规格"/>
    <tableColumn id="12" name="目标单价"/>
    <tableColumn id="13" name="税率"/>
    <tableColumn id="14" name="主要供应商"/>
    <tableColumn id="15" name="替代材料"/>
    <tableColumn id="16" name="关键材料"/>
    <tableColumn id="17" name="备注"/>
  </tableColumns>
  <tableStyleInfo name="TableStyleMedium2" showRowStripes="1"/>
</table>
</file>

<file path=xl/tables/table2.xml><?xml version="1.0" encoding="utf-8"?>
<table xmlns="http://schemas.openxmlformats.org/spreadsheetml/2006/main" id="2" name="DemandPlanTable" displayName="DemandPlanTable" ref="A3:R8" headerRowCount="1">
  <tableColumns count="18">
    <tableColumn id="1" name="项目/楼栋"/>
    <tableColumn id="2" name="分部分项"/>
    <tableColumn id="3" name="工序"/>
    <tableColumn id="4" name="材料编码"/>
    <tableColumn id="5" name="材料名称"/>
    <tableColumn id="6" name="类别"/>
    <tableColumn id="7" name="单位"/>
    <tableColumn id="8" name="计划工程量"/>
    <tableColumn id="9" name="单位理论用量"/>
    <tableColumn id="10" name="理论净需求"/>
    <tableColumn id="11" name="标准损耗率"/>
    <tableColumn id="12" name="标准损耗量"/>
    <tableColumn id="13" name="计划需求量"/>
    <tableColumn id="14" name="安全库存系数"/>
    <tableColumn id="15" name="建议采购量"/>
    <tableColumn id="16" name="需求日期"/>
    <tableColumn id="17" name="责任人"/>
    <tableColumn id="18" name="备注"/>
  </tableColumns>
  <tableStyleInfo name="TableStyleMedium2" showRowStripes="1"/>
</table>
</file>

<file path=xl/tables/table3.xml><?xml version="1.0" encoding="utf-8"?>
<table xmlns="http://schemas.openxmlformats.org/spreadsheetml/2006/main" id="3" name="LossLedgerTable" displayName="LossLedgerTable" ref="A3:U7" headerRowCount="1">
  <tableColumns count="21">
    <tableColumn id="1" name="日期"/>
    <tableColumn id="2" name="项目/楼栋"/>
    <tableColumn id="3" name="工序"/>
    <tableColumn id="4" name="材料编码"/>
    <tableColumn id="5" name="材料名称"/>
    <tableColumn id="6" name="类别"/>
    <tableColumn id="7" name="单位"/>
    <tableColumn id="8" name="领用量"/>
    <tableColumn id="9" name="完成工程量"/>
    <tableColumn id="10" name="理论消耗量"/>
    <tableColumn id="11" name="实际消耗量"/>
    <tableColumn id="12" name="损耗量"/>
    <tableColumn id="13" name="损耗率"/>
    <tableColumn id="14" name="标准损耗率"/>
    <tableColumn id="15" name="超耗量"/>
    <tableColumn id="16" name="超耗金额"/>
    <tableColumn id="17" name="原因分类"/>
    <tableColumn id="18" name="责任部门/人"/>
    <tableColumn id="19" name="改进措施"/>
    <tableColumn id="20" name="闭环状态"/>
    <tableColumn id="21" name="备注"/>
  </tableColumns>
  <tableStyleInfo name="TableStyleMedium2" showRowStripes="1"/>
</table>
</file>

<file path=xl/tables/table4.xml><?xml version="1.0" encoding="utf-8"?>
<table xmlns="http://schemas.openxmlformats.org/spreadsheetml/2006/main" id="4" name="ProcurementPlanTable" displayName="ProcurementPlanTable" ref="A3:W8" headerRowCount="1">
  <tableColumns count="23">
    <tableColumn id="1" name="采购批次"/>
    <tableColumn id="2" name="采购方式"/>
    <tableColumn id="3" name="优先级"/>
    <tableColumn id="4" name="材料编码"/>
    <tableColumn id="5" name="材料名称"/>
    <tableColumn id="6" name="类别"/>
    <tableColumn id="7" name="单位"/>
    <tableColumn id="8" name="计划需求量"/>
    <tableColumn id="9" name="当前库存"/>
    <tableColumn id="10" name="在途数量"/>
    <tableColumn id="11" name="已下单未到"/>
    <tableColumn id="12" name="安全库存量"/>
    <tableColumn id="13" name="净采购需求"/>
    <tableColumn id="14" name="建议采购量"/>
    <tableColumn id="15" name="目标单价"/>
    <tableColumn id="16" name="预计采购金额"/>
    <tableColumn id="17" name="需求日期"/>
    <tableColumn id="18" name="采购提前期(天)"/>
    <tableColumn id="19" name="建议下单日期"/>
    <tableColumn id="20" name="供应商"/>
    <tableColumn id="21" name="采购状态"/>
    <tableColumn id="22" name="验收/质量要求"/>
    <tableColumn id="23" name="备注"/>
  </tableColumns>
  <tableStyleInfo name="TableStyleMedium2" showRowStripes="1"/>
</table>
</file>

<file path=xl/tables/table5.xml><?xml version="1.0" encoding="utf-8"?>
<table xmlns="http://schemas.openxmlformats.org/spreadsheetml/2006/main" id="5" name="InventoryTable" displayName="InventoryTable" ref="A3:P8" headerRowCount="1">
  <tableColumns count="16">
    <tableColumn id="1" name="仓库/地点"/>
    <tableColumn id="2" name="材料编码"/>
    <tableColumn id="3" name="材料名称"/>
    <tableColumn id="4" name="类别"/>
    <tableColumn id="5" name="单位"/>
    <tableColumn id="6" name="当前库存"/>
    <tableColumn id="7" name="安全库存"/>
    <tableColumn id="8" name="待收货数量"/>
    <tableColumn id="9" name="待检数量"/>
    <tableColumn id="10" name="已预留数量"/>
    <tableColumn id="11" name="可用库存"/>
    <tableColumn id="12" name="库存状态"/>
    <tableColumn id="13" name="最近入库日期"/>
    <tableColumn id="14" name="最近出库日期"/>
    <tableColumn id="15" name="盘点差异"/>
    <tableColumn id="16" name="备注"/>
  </tableColumns>
  <tableStyleInfo name="TableStyleMedium2" showRowStripes="1"/>
</table>
</file>

<file path=xl/tables/table6.xml><?xml version="1.0" encoding="utf-8"?>
<table xmlns="http://schemas.openxmlformats.org/spreadsheetml/2006/main" id="6" name="SupplierEvaluationTable" displayName="SupplierEvaluationTable" ref="A3:L8" headerRowCount="1">
  <tableColumns count="12">
    <tableColumn id="1" name="供应商"/>
    <tableColumn id="2" name="材料类别"/>
    <tableColumn id="3" name="联系人"/>
    <tableColumn id="4" name="交付准时率/分"/>
    <tableColumn id="5" name="质量合格率/分"/>
    <tableColumn id="6" name="价格竞争力/分"/>
    <tableColumn id="7" name="响应速度/分"/>
    <tableColumn id="8" name="账期/付款条件"/>
    <tableColumn id="9" name="综合评分"/>
    <tableColumn id="10" name="等级"/>
    <tableColumn id="11" name="建议策略"/>
    <tableColumn id="12" name="备注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8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9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3"/>
  <sheetViews>
    <sheetView workbookViewId="0">
      <selection activeCell="A1" sqref="A1"/>
    </sheetView>
  </sheetViews>
  <sheetFormatPr baseColWidth="8" defaultRowHeight="15"/>
  <cols>
    <col width="16" customWidth="1" min="1" max="1"/>
    <col width="95" customWidth="1" min="2" max="2"/>
  </cols>
  <sheetData>
    <row r="1" ht="30" customHeight="1">
      <c r="A1" s="9" t="inlineStr">
        <is>
          <t>建筑材料损耗分析与精益采购计划表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36" customHeight="1"/>
    <row r="3">
      <c r="A3" s="26" t="inlineStr">
        <is>
          <t>模板定位</t>
        </is>
      </c>
      <c r="B3" s="27" t="inlineStr">
        <is>
          <t>用于不同公司/项目的建筑材料需求测算、损耗分析、精益采购、库存到货、供应商评估和管理看板。</t>
        </is>
      </c>
    </row>
    <row r="4">
      <c r="A4" s="26" t="inlineStr">
        <is>
          <t>适用场景</t>
        </is>
      </c>
      <c r="B4" s="27" t="inlineStr">
        <is>
          <t>公司级集中采购、项目级采购计划、施工阶段材料领用控制、月度损耗复盘、低库存预警、应急采购、供应商考核。</t>
        </is>
      </c>
    </row>
    <row r="5">
      <c r="A5" s="26" t="inlineStr">
        <is>
          <t>使用流程</t>
        </is>
      </c>
      <c r="B5" s="27" t="inlineStr">
        <is>
          <t>1. 在“参数设置”填写公司/项目基础信息与下拉选项 → 2. 维护“材料清单与损耗标准” → 3. 填写“工程量与需求计划” → 4. 记录“损耗分析台账” → 5. 形成“精益采购计划” → 6. 跟踪库存/到货/供应商 → 7. 查看“看板”。</t>
        </is>
      </c>
    </row>
    <row r="6">
      <c r="A6" s="26" t="inlineStr">
        <is>
          <t>黄色单元格</t>
        </is>
      </c>
      <c r="B6" s="27" t="inlineStr">
        <is>
          <t>建议人工录入或按项目调整。</t>
        </is>
      </c>
    </row>
    <row r="7">
      <c r="A7" s="26" t="inlineStr">
        <is>
          <t>绿色单元格</t>
        </is>
      </c>
      <c r="B7" s="28" t="inlineStr">
        <is>
          <t>公式计算区，建议不要直接覆盖；如需修改，请先确认公式逻辑。</t>
        </is>
      </c>
    </row>
    <row r="8">
      <c r="A8" s="26" t="inlineStr">
        <is>
          <t>网页来源</t>
        </is>
      </c>
      <c r="B8" s="27" t="inlineStr">
        <is>
          <t>/zh/excel-templates/construction/material-loss-procurement-plan/</t>
        </is>
      </c>
    </row>
    <row r="9">
      <c r="A9" s="26" t="inlineStr">
        <is>
          <t>来源说明</t>
        </is>
      </c>
      <c r="B9" s="27" t="inlineStr">
        <is>
          <t>本运行环境无法直接读取用户本机 localhost 页面，因此模板依据页面标题“建筑材料损耗分析与精益采购计划表”及建筑材料管理的通用业务流程构建，并将来源 URL 保留在此处。</t>
        </is>
      </c>
    </row>
    <row r="10">
      <c r="A10" s="26" t="inlineStr">
        <is>
          <t>版本</t>
        </is>
      </c>
      <c r="B10" s="27" t="inlineStr">
        <is>
          <t>V1.0 通用模板</t>
        </is>
      </c>
    </row>
    <row r="11"/>
    <row r="12">
      <c r="A12" s="36" t="inlineStr">
        <is>
          <t>工作表说明</t>
        </is>
      </c>
      <c r="B12" s="36" t="inlineStr">
        <is>
          <t>封面说明</t>
        </is>
      </c>
      <c r="C12" s="36" t="inlineStr">
        <is>
          <t>看板</t>
        </is>
      </c>
      <c r="D12" s="36" t="inlineStr">
        <is>
          <t>参数设置</t>
        </is>
      </c>
      <c r="E12" s="36" t="inlineStr">
        <is>
          <t>材料清单与损耗标准</t>
        </is>
      </c>
      <c r="F12" s="36" t="inlineStr">
        <is>
          <t>工程量与需求计划</t>
        </is>
      </c>
      <c r="G12" s="36" t="inlineStr">
        <is>
          <t>损耗分析台账</t>
        </is>
      </c>
      <c r="H12" s="36" t="inlineStr">
        <is>
          <t>精益采购计划</t>
        </is>
      </c>
      <c r="I12" s="36" t="inlineStr">
        <is>
          <t>库存与到货跟踪</t>
        </is>
      </c>
      <c r="J12" s="36" t="inlineStr">
        <is>
          <t>供应商评估</t>
        </is>
      </c>
    </row>
    <row r="13" ht="48" customHeight="1">
      <c r="A13" s="27" t="inlineStr">
        <is>
          <t>用途</t>
        </is>
      </c>
      <c r="B13" s="27" t="inlineStr">
        <is>
          <t>说明与使用流程</t>
        </is>
      </c>
      <c r="C13" s="27" t="inlineStr">
        <is>
          <t>自动汇总关键指标与图表</t>
        </is>
      </c>
      <c r="D13" s="27" t="inlineStr">
        <is>
          <t>公司/项目参数、下拉值维护</t>
        </is>
      </c>
      <c r="E13" s="27" t="inlineStr">
        <is>
          <t>物料主数据、标准损耗率、供应商</t>
        </is>
      </c>
      <c r="F13" s="27" t="inlineStr">
        <is>
          <t>工程量→理论需求→含损耗采购建议</t>
        </is>
      </c>
      <c r="G13" s="27" t="inlineStr">
        <is>
          <t>实际消耗、损耗率、超耗金额与原因闭环</t>
        </is>
      </c>
      <c r="H13" s="27" t="inlineStr">
        <is>
          <t>净需求、建议采购量、金额与下单日期</t>
        </is>
      </c>
      <c r="I13" s="27" t="inlineStr">
        <is>
          <t>可用库存、低库存/高库存提示</t>
        </is>
      </c>
      <c r="J13" s="27" t="inlineStr">
        <is>
          <t>供应商交付、质量、价格与综合评级</t>
        </is>
      </c>
    </row>
  </sheetData>
  <mergeCells count="1"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42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34" customWidth="1" min="3" max="3"/>
    <col width="18" customWidth="1" min="5" max="5"/>
    <col width="16" customWidth="1" min="6" max="6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9" t="inlineStr">
        <is>
          <t>建筑材料损耗分析与精益采购管理看板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</row>
    <row r="2" ht="36" customHeight="1">
      <c r="A2" s="49" t="inlineStr">
        <is>
          <t>说明：本页自动汇总采购金额、超耗金额、平均损耗率、低库存数量、未闭环问题和分类/原因分布。请先维护其他工作表。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</row>
    <row r="3"/>
    <row r="4">
      <c r="A4" s="124" t="inlineStr">
        <is>
          <t>公司名称</t>
        </is>
      </c>
      <c r="B4" s="56">
        <f>'参数设置'!$B$10</f>
        <v/>
      </c>
      <c r="C4" s="18" t="n"/>
      <c r="D4" s="18" t="n"/>
      <c r="E4" s="18" t="n"/>
      <c r="F4" s="18" t="n"/>
      <c r="G4" s="18" t="n"/>
      <c r="H4" s="18" t="n"/>
      <c r="I4" s="18" t="n"/>
      <c r="J4" s="18" t="n"/>
      <c r="K4" s="18" t="n"/>
      <c r="L4" s="18" t="n"/>
      <c r="M4" s="18" t="n"/>
      <c r="N4" s="18" t="n"/>
    </row>
    <row r="5">
      <c r="A5" s="124" t="inlineStr">
        <is>
          <t>项目名称</t>
        </is>
      </c>
      <c r="B5" s="56">
        <f>'参数设置'!$B$11</f>
        <v/>
      </c>
      <c r="C5" s="18" t="n"/>
      <c r="D5" s="18" t="n"/>
      <c r="E5" s="18" t="n"/>
      <c r="F5" s="18" t="n"/>
      <c r="G5" s="18" t="n"/>
      <c r="H5" s="18" t="n"/>
      <c r="I5" s="18" t="n"/>
      <c r="J5" s="18" t="n"/>
      <c r="K5" s="18" t="n"/>
      <c r="L5" s="18" t="n"/>
      <c r="M5" s="18" t="n"/>
      <c r="N5" s="18" t="n"/>
    </row>
    <row r="6">
      <c r="A6" s="124" t="inlineStr">
        <is>
          <t>计划开始</t>
        </is>
      </c>
      <c r="B6" s="132">
        <f>'参数设置'!$B$12</f>
        <v/>
      </c>
      <c r="C6" s="18" t="n"/>
      <c r="D6" s="18" t="n"/>
      <c r="E6" s="18" t="n"/>
      <c r="F6" s="18" t="n"/>
      <c r="G6" s="18" t="n"/>
      <c r="H6" s="18" t="n"/>
      <c r="I6" s="18" t="n"/>
      <c r="J6" s="18" t="n"/>
      <c r="K6" s="18" t="n"/>
      <c r="L6" s="18" t="n"/>
      <c r="M6" s="18" t="n"/>
      <c r="N6" s="18" t="n"/>
    </row>
    <row r="7">
      <c r="A7" s="124" t="inlineStr">
        <is>
          <t>计划结束</t>
        </is>
      </c>
      <c r="B7" s="132">
        <f>'参数设置'!$B$13</f>
        <v/>
      </c>
      <c r="C7" s="18" t="n"/>
      <c r="D7" s="18" t="n"/>
      <c r="E7" s="18" t="n"/>
      <c r="F7" s="18" t="n"/>
      <c r="G7" s="18" t="n"/>
      <c r="H7" s="18" t="n"/>
      <c r="I7" s="18" t="n"/>
      <c r="J7" s="18" t="n"/>
      <c r="K7" s="18" t="n"/>
      <c r="L7" s="18" t="n"/>
      <c r="M7" s="18" t="n"/>
      <c r="N7" s="18" t="n"/>
    </row>
    <row r="8">
      <c r="A8" s="18" t="n"/>
      <c r="B8" s="18" t="n"/>
      <c r="C8" s="18" t="n"/>
      <c r="D8" s="18" t="n"/>
      <c r="E8" s="18" t="n"/>
      <c r="F8" s="18" t="n"/>
      <c r="G8" s="18" t="n"/>
      <c r="H8" s="18" t="n"/>
      <c r="I8" s="18" t="n"/>
      <c r="J8" s="18" t="n"/>
      <c r="K8" s="18" t="n"/>
      <c r="L8" s="18" t="n"/>
      <c r="M8" s="18" t="n"/>
      <c r="N8" s="18" t="n"/>
    </row>
    <row r="9">
      <c r="A9" s="36" t="inlineStr">
        <is>
          <t>核心指标</t>
        </is>
      </c>
      <c r="B9" s="36" t="inlineStr">
        <is>
          <t>数值</t>
        </is>
      </c>
      <c r="C9" s="36" t="inlineStr">
        <is>
          <t>口径说明</t>
        </is>
      </c>
      <c r="D9" s="18" t="n"/>
      <c r="E9" s="18" t="n"/>
      <c r="F9" s="18" t="n"/>
      <c r="G9" s="18" t="n"/>
      <c r="H9" s="18" t="n"/>
      <c r="I9" s="18" t="n"/>
      <c r="J9" s="18" t="n"/>
      <c r="K9" s="18" t="n"/>
      <c r="L9" s="18" t="n"/>
      <c r="M9" s="18" t="n"/>
      <c r="N9" s="18" t="n"/>
    </row>
    <row r="10">
      <c r="A10" s="125" t="inlineStr">
        <is>
          <t>计划采购金额</t>
        </is>
      </c>
      <c r="B10" s="133">
        <f>SUM('精益采购计划'!$P$4:$P$203)</f>
        <v/>
      </c>
      <c r="C10" s="125" t="inlineStr">
        <is>
          <t>采购计划表中预计采购金额合计</t>
        </is>
      </c>
      <c r="D10" s="18" t="n"/>
      <c r="E10" s="18" t="n"/>
      <c r="F10" s="18" t="n"/>
      <c r="G10" s="18" t="n"/>
      <c r="H10" s="18" t="n"/>
      <c r="I10" s="18" t="n"/>
      <c r="J10" s="18" t="n"/>
      <c r="K10" s="18" t="n"/>
      <c r="L10" s="18" t="n"/>
      <c r="M10" s="18" t="n"/>
      <c r="N10" s="18" t="n"/>
    </row>
    <row r="11">
      <c r="A11" s="125" t="inlineStr">
        <is>
          <t>超耗金额</t>
        </is>
      </c>
      <c r="B11" s="133">
        <f>SUM('损耗分析台账'!$P$4:$P$203)</f>
        <v/>
      </c>
      <c r="C11" s="125" t="inlineStr">
        <is>
          <t>超出标准损耗对应的材料金额</t>
        </is>
      </c>
      <c r="D11" s="18" t="n"/>
      <c r="E11" s="18" t="n"/>
      <c r="F11" s="18" t="n"/>
      <c r="G11" s="18" t="n"/>
      <c r="H11" s="18" t="n"/>
      <c r="I11" s="18" t="n"/>
      <c r="J11" s="18" t="n"/>
      <c r="K11" s="18" t="n"/>
      <c r="L11" s="18" t="n"/>
      <c r="M11" s="18" t="n"/>
      <c r="N11" s="18" t="n"/>
    </row>
    <row r="12">
      <c r="A12" s="125" t="inlineStr">
        <is>
          <t>平均损耗率</t>
        </is>
      </c>
      <c r="B12" s="134">
        <f>IFERROR(AVERAGEIF('损耗分析台账'!$M$4:$M$203,"&gt;0"),0)</f>
        <v/>
      </c>
      <c r="C12" s="125" t="inlineStr">
        <is>
          <t>损耗台账中大于 0 的损耗率平均</t>
        </is>
      </c>
      <c r="D12" s="18" t="n"/>
      <c r="E12" s="18" t="n"/>
      <c r="F12" s="18" t="n"/>
      <c r="G12" s="18" t="n"/>
      <c r="H12" s="18" t="n"/>
      <c r="I12" s="18" t="n"/>
      <c r="J12" s="18" t="n"/>
      <c r="K12" s="18" t="n"/>
      <c r="L12" s="18" t="n"/>
      <c r="M12" s="18" t="n"/>
      <c r="N12" s="18" t="n"/>
    </row>
    <row r="13">
      <c r="A13" s="125" t="inlineStr">
        <is>
          <t>超耗条目数</t>
        </is>
      </c>
      <c r="B13" s="135">
        <f>COUNTIF('损耗分析台账'!$O$4:$O$203,"&gt;0")</f>
        <v/>
      </c>
      <c r="C13" s="125" t="inlineStr">
        <is>
          <t>超耗量大于 0 的记录数</t>
        </is>
      </c>
      <c r="D13" s="18" t="n"/>
      <c r="E13" s="18" t="n"/>
      <c r="F13" s="18" t="n"/>
      <c r="G13" s="18" t="n"/>
      <c r="H13" s="18" t="n"/>
      <c r="I13" s="18" t="n"/>
      <c r="J13" s="18" t="n"/>
      <c r="K13" s="18" t="n"/>
      <c r="L13" s="18" t="n"/>
      <c r="M13" s="18" t="n"/>
      <c r="N13" s="18" t="n"/>
    </row>
    <row r="14">
      <c r="A14" s="125" t="inlineStr">
        <is>
          <t>低库存物料数</t>
        </is>
      </c>
      <c r="B14" s="135">
        <f>COUNTIF('库存与到货跟踪'!$L$4:$L$203,"低库存")</f>
        <v/>
      </c>
      <c r="C14" s="125" t="inlineStr">
        <is>
          <t>库存状态为低库存的记录数</t>
        </is>
      </c>
      <c r="D14" s="18" t="n"/>
      <c r="E14" s="18" t="n"/>
      <c r="F14" s="18" t="n"/>
      <c r="G14" s="18" t="n"/>
      <c r="H14" s="18" t="n"/>
      <c r="I14" s="18" t="n"/>
      <c r="J14" s="18" t="n"/>
      <c r="K14" s="18" t="n"/>
      <c r="L14" s="18" t="n"/>
      <c r="M14" s="18" t="n"/>
      <c r="N14" s="18" t="n"/>
    </row>
    <row r="15">
      <c r="A15" s="125" t="inlineStr">
        <is>
          <t>未闭环问题</t>
        </is>
      </c>
      <c r="B15" s="135">
        <f>COUNTIF('损耗分析台账'!$T$4:$T$203,"未开始")+COUNTIF('损耗分析台账'!$T$4:$T$203,"进行中")</f>
        <v/>
      </c>
      <c r="C15" s="125" t="inlineStr">
        <is>
          <t>未开始或进行中的损耗改进项</t>
        </is>
      </c>
      <c r="D15" s="18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</row>
    <row r="16">
      <c r="A16" s="125" t="inlineStr">
        <is>
          <t>待推进采购项</t>
        </is>
      </c>
      <c r="B16" s="135">
        <f>COUNTIF('精益采购计划'!$U$4:$U$203,"待审批")+COUNTIF('精益采购计划'!$U$4:$U$203,"待询价")+COUNTIF('精益采购计划'!$U$4:$U$203,"待下单")+COUNTIF('精益采购计划'!$U$4:$U$203,"需求收集")</f>
        <v/>
      </c>
      <c r="C16" s="125" t="inlineStr">
        <is>
          <t>仍需审批、询价、下单或收集的采购项</t>
        </is>
      </c>
      <c r="D16" s="18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</row>
    <row r="17">
      <c r="A17" s="18" t="n"/>
      <c r="B17" s="18" t="n"/>
      <c r="C17" s="18" t="n"/>
      <c r="D17" s="18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</row>
    <row r="18">
      <c r="A18" s="18" t="n"/>
      <c r="B18" s="18" t="n"/>
      <c r="C18" s="18" t="n"/>
      <c r="D18" s="18" t="n"/>
      <c r="E18" s="18" t="n"/>
      <c r="F18" s="18" t="n"/>
      <c r="G18" s="18" t="n"/>
      <c r="H18" s="18" t="n"/>
      <c r="I18" s="18" t="n"/>
      <c r="J18" s="18" t="n"/>
      <c r="K18" s="18" t="n"/>
      <c r="L18" s="18" t="n"/>
      <c r="M18" s="18" t="n"/>
      <c r="N18" s="18" t="n"/>
    </row>
    <row r="19">
      <c r="A19" s="36" t="inlineStr">
        <is>
          <t>材料类别</t>
        </is>
      </c>
      <c r="B19" s="36" t="inlineStr">
        <is>
          <t>预计采购金额</t>
        </is>
      </c>
      <c r="C19" s="36" t="inlineStr">
        <is>
          <t>建议采购量</t>
        </is>
      </c>
      <c r="D19" s="18" t="n"/>
      <c r="E19" s="36" t="inlineStr">
        <is>
          <t>损耗原因</t>
        </is>
      </c>
      <c r="F19" s="36" t="inlineStr">
        <is>
          <t>超耗金额</t>
        </is>
      </c>
      <c r="G19" s="18" t="n"/>
      <c r="H19" s="18" t="n"/>
      <c r="I19" s="18" t="n"/>
      <c r="J19" s="18" t="n"/>
      <c r="K19" s="18" t="n"/>
      <c r="L19" s="18" t="n"/>
      <c r="M19" s="18" t="n"/>
      <c r="N19" s="18" t="n"/>
    </row>
    <row r="20">
      <c r="A20" s="18" t="inlineStr">
        <is>
          <t>钢材</t>
        </is>
      </c>
      <c r="B20" s="136">
        <f>SUMIFS('精益采购计划'!$P$4:$P$203,'精益采购计划'!$F$4:$F$203,$A20)</f>
        <v/>
      </c>
      <c r="C20" s="137">
        <f>SUMIFS('精益采购计划'!$N$4:$N$203,'精益采购计划'!$F$4:$F$203,$A20)</f>
        <v/>
      </c>
      <c r="D20" s="18" t="n"/>
      <c r="E20" s="18" t="inlineStr">
        <is>
          <t>设计变更</t>
        </is>
      </c>
      <c r="F20" s="136">
        <f>SUMIFS('损耗分析台账'!$P$4:$P$203,'损耗分析台账'!$Q$4:$Q$203,$E20)</f>
        <v/>
      </c>
      <c r="G20" s="18" t="n"/>
      <c r="H20" s="18" t="n"/>
      <c r="I20" s="18" t="n"/>
      <c r="J20" s="18" t="n"/>
      <c r="K20" s="18" t="n"/>
      <c r="L20" s="18" t="n"/>
      <c r="M20" s="18" t="n"/>
      <c r="N20" s="18" t="n"/>
    </row>
    <row r="21">
      <c r="A21" s="18" t="inlineStr">
        <is>
          <t>混凝土</t>
        </is>
      </c>
      <c r="B21" s="136">
        <f>SUMIFS('精益采购计划'!$P$4:$P$203,'精益采购计划'!$F$4:$F$203,$A21)</f>
        <v/>
      </c>
      <c r="C21" s="137">
        <f>SUMIFS('精益采购计划'!$N$4:$N$203,'精益采购计划'!$F$4:$F$203,$A21)</f>
        <v/>
      </c>
      <c r="D21" s="18" t="n"/>
      <c r="E21" s="18" t="inlineStr">
        <is>
          <t>施工返工</t>
        </is>
      </c>
      <c r="F21" s="136">
        <f>SUMIFS('损耗分析台账'!$P$4:$P$203,'损耗分析台账'!$Q$4:$Q$203,$E21)</f>
        <v/>
      </c>
      <c r="G21" s="18" t="n"/>
      <c r="H21" s="18" t="n"/>
      <c r="I21" s="18" t="n"/>
      <c r="J21" s="18" t="n"/>
      <c r="K21" s="18" t="n"/>
      <c r="L21" s="18" t="n"/>
      <c r="M21" s="18" t="n"/>
      <c r="N21" s="18" t="n"/>
    </row>
    <row r="22">
      <c r="A22" s="18" t="inlineStr">
        <is>
          <t>水泥砂石</t>
        </is>
      </c>
      <c r="B22" s="136">
        <f>SUMIFS('精益采购计划'!$P$4:$P$203,'精益采购计划'!$F$4:$F$203,$A22)</f>
        <v/>
      </c>
      <c r="C22" s="137">
        <f>SUMIFS('精益采购计划'!$N$4:$N$203,'精益采购计划'!$F$4:$F$203,$A22)</f>
        <v/>
      </c>
      <c r="D22" s="18" t="n"/>
      <c r="E22" s="18" t="inlineStr">
        <is>
          <t>下料/切割损耗</t>
        </is>
      </c>
      <c r="F22" s="136">
        <f>SUMIFS('损耗分析台账'!$P$4:$P$203,'损耗分析台账'!$Q$4:$Q$203,$E22)</f>
        <v/>
      </c>
      <c r="G22" s="18" t="n"/>
      <c r="H22" s="18" t="n"/>
      <c r="I22" s="18" t="n"/>
      <c r="J22" s="18" t="n"/>
      <c r="K22" s="18" t="n"/>
      <c r="L22" s="18" t="n"/>
      <c r="M22" s="18" t="n"/>
      <c r="N22" s="18" t="n"/>
    </row>
    <row r="23">
      <c r="A23" s="18" t="inlineStr">
        <is>
          <t>砌体材料</t>
        </is>
      </c>
      <c r="B23" s="136">
        <f>SUMIFS('精益采购计划'!$P$4:$P$203,'精益采购计划'!$F$4:$F$203,$A23)</f>
        <v/>
      </c>
      <c r="C23" s="137">
        <f>SUMIFS('精益采购计划'!$N$4:$N$203,'精益采购计划'!$F$4:$F$203,$A23)</f>
        <v/>
      </c>
      <c r="D23" s="18" t="n"/>
      <c r="E23" s="18" t="inlineStr">
        <is>
          <t>运输破损</t>
        </is>
      </c>
      <c r="F23" s="136">
        <f>SUMIFS('损耗分析台账'!$P$4:$P$203,'损耗分析台账'!$Q$4:$Q$203,$E23)</f>
        <v/>
      </c>
      <c r="G23" s="18" t="n"/>
      <c r="H23" s="18" t="n"/>
      <c r="I23" s="18" t="n"/>
      <c r="J23" s="18" t="n"/>
      <c r="K23" s="18" t="n"/>
      <c r="L23" s="18" t="n"/>
      <c r="M23" s="18" t="n"/>
      <c r="N23" s="18" t="n"/>
    </row>
    <row r="24">
      <c r="A24" s="18" t="inlineStr">
        <is>
          <t>防水保温</t>
        </is>
      </c>
      <c r="B24" s="136">
        <f>SUMIFS('精益采购计划'!$P$4:$P$203,'精益采购计划'!$F$4:$F$203,$A24)</f>
        <v/>
      </c>
      <c r="C24" s="137">
        <f>SUMIFS('精益采购计划'!$N$4:$N$203,'精益采购计划'!$F$4:$F$203,$A24)</f>
        <v/>
      </c>
      <c r="D24" s="18" t="n"/>
      <c r="E24" s="18" t="inlineStr">
        <is>
          <t>保管不当</t>
        </is>
      </c>
      <c r="F24" s="136">
        <f>SUMIFS('损耗分析台账'!$P$4:$P$203,'损耗分析台账'!$Q$4:$Q$203,$E24)</f>
        <v/>
      </c>
      <c r="G24" s="18" t="n"/>
      <c r="H24" s="18" t="n"/>
      <c r="I24" s="18" t="n"/>
      <c r="J24" s="18" t="n"/>
      <c r="K24" s="18" t="n"/>
      <c r="L24" s="18" t="n"/>
      <c r="M24" s="18" t="n"/>
      <c r="N24" s="18" t="n"/>
    </row>
    <row r="25">
      <c r="A25" s="18" t="inlineStr">
        <is>
          <t>装饰装修</t>
        </is>
      </c>
      <c r="B25" s="136">
        <f>SUMIFS('精益采购计划'!$P$4:$P$203,'精益采购计划'!$F$4:$F$203,$A25)</f>
        <v/>
      </c>
      <c r="C25" s="137">
        <f>SUMIFS('精益采购计划'!$N$4:$N$203,'精益采购计划'!$F$4:$F$203,$A25)</f>
        <v/>
      </c>
      <c r="D25" s="18" t="n"/>
      <c r="E25" s="18" t="inlineStr">
        <is>
          <t>计量偏差</t>
        </is>
      </c>
      <c r="F25" s="136">
        <f>SUMIFS('损耗分析台账'!$P$4:$P$203,'损耗分析台账'!$Q$4:$Q$203,$E25)</f>
        <v/>
      </c>
      <c r="G25" s="18" t="n"/>
      <c r="H25" s="18" t="n"/>
      <c r="I25" s="18" t="n"/>
      <c r="J25" s="18" t="n"/>
      <c r="K25" s="18" t="n"/>
      <c r="L25" s="18" t="n"/>
      <c r="M25" s="18" t="n"/>
      <c r="N25" s="18" t="n"/>
    </row>
    <row r="26">
      <c r="A26" s="18" t="inlineStr">
        <is>
          <t>机电材料</t>
        </is>
      </c>
      <c r="B26" s="136">
        <f>SUMIFS('精益采购计划'!$P$4:$P$203,'精益采购计划'!$F$4:$F$203,$A26)</f>
        <v/>
      </c>
      <c r="C26" s="137">
        <f>SUMIFS('精益采购计划'!$N$4:$N$203,'精益采购计划'!$F$4:$F$203,$A26)</f>
        <v/>
      </c>
      <c r="D26" s="18" t="n"/>
      <c r="E26" s="18" t="inlineStr">
        <is>
          <t>质量退换</t>
        </is>
      </c>
      <c r="F26" s="136">
        <f>SUMIFS('损耗分析台账'!$P$4:$P$203,'损耗分析台账'!$Q$4:$Q$203,$E26)</f>
        <v/>
      </c>
      <c r="G26" s="18" t="n"/>
      <c r="H26" s="18" t="n"/>
      <c r="I26" s="18" t="n"/>
      <c r="J26" s="18" t="n"/>
      <c r="K26" s="18" t="n"/>
      <c r="L26" s="18" t="n"/>
      <c r="M26" s="18" t="n"/>
      <c r="N26" s="18" t="n"/>
    </row>
    <row r="27">
      <c r="A27" s="18" t="inlineStr">
        <is>
          <t>周转材料</t>
        </is>
      </c>
      <c r="B27" s="136">
        <f>SUMIFS('精益采购计划'!$P$4:$P$203,'精益采购计划'!$F$4:$F$203,$A27)</f>
        <v/>
      </c>
      <c r="C27" s="137">
        <f>SUMIFS('精益采购计划'!$N$4:$N$203,'精益采购计划'!$F$4:$F$203,$A27)</f>
        <v/>
      </c>
      <c r="D27" s="18" t="n"/>
      <c r="E27" s="18" t="inlineStr">
        <is>
          <t>超发超领</t>
        </is>
      </c>
      <c r="F27" s="136">
        <f>SUMIFS('损耗分析台账'!$P$4:$P$203,'损耗分析台账'!$Q$4:$Q$203,$E27)</f>
        <v/>
      </c>
      <c r="G27" s="18" t="n"/>
      <c r="H27" s="18" t="n"/>
      <c r="I27" s="18" t="n"/>
      <c r="J27" s="18" t="n"/>
      <c r="K27" s="18" t="n"/>
      <c r="L27" s="18" t="n"/>
      <c r="M27" s="18" t="n"/>
      <c r="N27" s="18" t="n"/>
    </row>
    <row r="28">
      <c r="A28" s="18" t="inlineStr">
        <is>
          <t>临设材料</t>
        </is>
      </c>
      <c r="B28" s="136">
        <f>SUMIFS('精益采购计划'!$P$4:$P$203,'精益采购计划'!$F$4:$F$203,$A28)</f>
        <v/>
      </c>
      <c r="C28" s="137">
        <f>SUMIFS('精益采购计划'!$N$4:$N$203,'精益采购计划'!$F$4:$F$203,$A28)</f>
        <v/>
      </c>
      <c r="D28" s="18" t="n"/>
      <c r="E28" s="18" t="inlineStr">
        <is>
          <t>其他</t>
        </is>
      </c>
      <c r="F28" s="136">
        <f>SUMIFS('损耗分析台账'!$P$4:$P$203,'损耗分析台账'!$Q$4:$Q$203,$E28)</f>
        <v/>
      </c>
      <c r="G28" s="18" t="n"/>
      <c r="H28" s="18" t="n"/>
      <c r="I28" s="18" t="n"/>
      <c r="J28" s="18" t="n"/>
      <c r="K28" s="18" t="n"/>
      <c r="L28" s="18" t="n"/>
      <c r="M28" s="18" t="n"/>
      <c r="N28" s="18" t="n"/>
    </row>
    <row r="29">
      <c r="A29" s="18" t="inlineStr">
        <is>
          <t>其他</t>
        </is>
      </c>
      <c r="B29" s="136">
        <f>SUMIFS('精益采购计划'!$P$4:$P$203,'精益采购计划'!$F$4:$F$203,$A29)</f>
        <v/>
      </c>
      <c r="C29" s="137">
        <f>SUMIFS('精益采购计划'!$N$4:$N$203,'精益采购计划'!$F$4:$F$203,$A29)</f>
        <v/>
      </c>
      <c r="D29" s="18" t="n"/>
      <c r="E29" s="18" t="n"/>
      <c r="F29" s="18" t="n"/>
      <c r="G29" s="18" t="n"/>
      <c r="H29" s="18" t="n"/>
      <c r="I29" s="18" t="n"/>
      <c r="J29" s="18" t="n"/>
      <c r="K29" s="18" t="n"/>
      <c r="L29" s="18" t="n"/>
      <c r="M29" s="18" t="n"/>
      <c r="N29" s="18" t="n"/>
    </row>
    <row r="30">
      <c r="A30" s="18" t="n"/>
      <c r="B30" s="18" t="n"/>
      <c r="C30" s="18" t="n"/>
      <c r="D30" s="18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</row>
    <row r="31">
      <c r="A31" s="18" t="n"/>
      <c r="B31" s="18" t="n"/>
      <c r="C31" s="18" t="n"/>
      <c r="D31" s="18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</row>
    <row r="32">
      <c r="A32" s="18" t="n"/>
      <c r="B32" s="18" t="n"/>
      <c r="C32" s="18" t="n"/>
      <c r="D32" s="18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</row>
    <row r="33">
      <c r="A33" s="36" t="inlineStr">
        <is>
          <t>采购状态</t>
        </is>
      </c>
      <c r="B33" s="36" t="inlineStr">
        <is>
          <t>记录数</t>
        </is>
      </c>
      <c r="C33" s="18" t="n"/>
      <c r="D33" s="18" t="n"/>
      <c r="E33" s="36" t="inlineStr">
        <is>
          <t>损耗闭环状态</t>
        </is>
      </c>
      <c r="F33" s="36" t="inlineStr">
        <is>
          <t>记录数</t>
        </is>
      </c>
      <c r="G33" s="18" t="n"/>
      <c r="H33" s="18" t="n"/>
      <c r="I33" s="18" t="n"/>
      <c r="J33" s="18" t="n"/>
      <c r="K33" s="18" t="n"/>
      <c r="L33" s="18" t="n"/>
      <c r="M33" s="18" t="n"/>
      <c r="N33" s="18" t="n"/>
    </row>
    <row r="34">
      <c r="A34" s="18" t="inlineStr">
        <is>
          <t>需求收集</t>
        </is>
      </c>
      <c r="B34" s="138">
        <f>COUNTIF('精益采购计划'!$U$4:$U$203,$A34)</f>
        <v/>
      </c>
      <c r="C34" s="18" t="n"/>
      <c r="D34" s="18" t="n"/>
      <c r="E34" s="18" t="inlineStr">
        <is>
          <t>未开始</t>
        </is>
      </c>
      <c r="F34" s="138">
        <f>COUNTIF('损耗分析台账'!$T$4:$T$203,$E34)</f>
        <v/>
      </c>
      <c r="G34" s="18" t="n"/>
      <c r="H34" s="18" t="n"/>
      <c r="I34" s="18" t="n"/>
      <c r="J34" s="18" t="n"/>
      <c r="K34" s="18" t="n"/>
      <c r="L34" s="18" t="n"/>
      <c r="M34" s="18" t="n"/>
      <c r="N34" s="18" t="n"/>
    </row>
    <row r="35">
      <c r="A35" s="18" t="inlineStr">
        <is>
          <t>待审批</t>
        </is>
      </c>
      <c r="B35" s="138">
        <f>COUNTIF('精益采购计划'!$U$4:$U$203,$A35)</f>
        <v/>
      </c>
      <c r="C35" s="18" t="n"/>
      <c r="D35" s="18" t="n"/>
      <c r="E35" s="18" t="inlineStr">
        <is>
          <t>进行中</t>
        </is>
      </c>
      <c r="F35" s="138">
        <f>COUNTIF('损耗分析台账'!$T$4:$T$203,$E35)</f>
        <v/>
      </c>
      <c r="G35" s="18" t="n"/>
      <c r="H35" s="18" t="n"/>
      <c r="I35" s="18" t="n"/>
      <c r="J35" s="18" t="n"/>
      <c r="K35" s="18" t="n"/>
      <c r="L35" s="18" t="n"/>
      <c r="M35" s="18" t="n"/>
      <c r="N35" s="18" t="n"/>
    </row>
    <row r="36">
      <c r="A36" s="18" t="inlineStr">
        <is>
          <t>待询价</t>
        </is>
      </c>
      <c r="B36" s="138">
        <f>COUNTIF('精益采购计划'!$U$4:$U$203,$A36)</f>
        <v/>
      </c>
      <c r="C36" s="18" t="n"/>
      <c r="D36" s="18" t="n"/>
      <c r="E36" s="18" t="inlineStr">
        <is>
          <t>已完成</t>
        </is>
      </c>
      <c r="F36" s="138">
        <f>COUNTIF('损耗分析台账'!$T$4:$T$203,$E36)</f>
        <v/>
      </c>
      <c r="G36" s="18" t="n"/>
      <c r="H36" s="18" t="n"/>
      <c r="I36" s="18" t="n"/>
      <c r="J36" s="18" t="n"/>
      <c r="K36" s="18" t="n"/>
      <c r="L36" s="18" t="n"/>
      <c r="M36" s="18" t="n"/>
      <c r="N36" s="18" t="n"/>
    </row>
    <row r="37">
      <c r="A37" s="18" t="inlineStr">
        <is>
          <t>待下单</t>
        </is>
      </c>
      <c r="B37" s="138">
        <f>COUNTIF('精益采购计划'!$U$4:$U$203,$A37)</f>
        <v/>
      </c>
      <c r="C37" s="18" t="n"/>
      <c r="D37" s="18" t="n"/>
      <c r="E37" s="18" t="inlineStr">
        <is>
          <t>已验证</t>
        </is>
      </c>
      <c r="F37" s="138">
        <f>COUNTIF('损耗分析台账'!$T$4:$T$203,$E37)</f>
        <v/>
      </c>
      <c r="G37" s="18" t="n"/>
      <c r="H37" s="18" t="n"/>
      <c r="I37" s="18" t="n"/>
      <c r="J37" s="18" t="n"/>
      <c r="K37" s="18" t="n"/>
      <c r="L37" s="18" t="n"/>
      <c r="M37" s="18" t="n"/>
      <c r="N37" s="18" t="n"/>
    </row>
    <row r="38">
      <c r="A38" s="18" t="inlineStr">
        <is>
          <t>已下单</t>
        </is>
      </c>
      <c r="B38" s="138">
        <f>COUNTIF('精益采购计划'!$U$4:$U$203,$A38)</f>
        <v/>
      </c>
      <c r="C38" s="18" t="n"/>
      <c r="D38" s="18" t="n"/>
      <c r="E38" s="18" t="inlineStr">
        <is>
          <t>关闭</t>
        </is>
      </c>
      <c r="F38" s="138">
        <f>COUNTIF('损耗分析台账'!$T$4:$T$203,$E38)</f>
        <v/>
      </c>
      <c r="G38" s="18" t="n"/>
      <c r="H38" s="18" t="n"/>
      <c r="I38" s="18" t="n"/>
      <c r="J38" s="18" t="n"/>
      <c r="K38" s="18" t="n"/>
      <c r="L38" s="18" t="n"/>
      <c r="M38" s="18" t="n"/>
      <c r="N38" s="18" t="n"/>
    </row>
    <row r="39">
      <c r="A39" s="18" t="inlineStr">
        <is>
          <t>部分到货</t>
        </is>
      </c>
      <c r="B39" s="138">
        <f>COUNTIF('精益采购计划'!$U$4:$U$203,$A39)</f>
        <v/>
      </c>
      <c r="C39" s="18" t="n"/>
      <c r="D39" s="18" t="n"/>
      <c r="E39" s="18" t="n"/>
      <c r="F39" s="18" t="n"/>
      <c r="G39" s="18" t="n"/>
      <c r="H39" s="18" t="n"/>
      <c r="I39" s="18" t="n"/>
      <c r="J39" s="18" t="n"/>
      <c r="K39" s="18" t="n"/>
      <c r="L39" s="18" t="n"/>
      <c r="M39" s="18" t="n"/>
      <c r="N39" s="18" t="n"/>
    </row>
    <row r="40">
      <c r="A40" s="18" t="inlineStr">
        <is>
          <t>已到货</t>
        </is>
      </c>
      <c r="B40" s="138">
        <f>COUNTIF('精益采购计划'!$U$4:$U$203,$A40)</f>
        <v/>
      </c>
      <c r="C40" s="18" t="n"/>
      <c r="D40" s="18" t="n"/>
      <c r="E40" s="18" t="n"/>
      <c r="F40" s="18" t="n"/>
      <c r="G40" s="18" t="n"/>
      <c r="H40" s="18" t="n"/>
      <c r="I40" s="18" t="n"/>
      <c r="J40" s="18" t="n"/>
      <c r="K40" s="18" t="n"/>
      <c r="L40" s="18" t="n"/>
      <c r="M40" s="18" t="n"/>
      <c r="N40" s="18" t="n"/>
    </row>
    <row r="41">
      <c r="A41" s="18" t="inlineStr">
        <is>
          <t>已关闭</t>
        </is>
      </c>
      <c r="B41" s="138">
        <f>COUNTIF('精益采购计划'!$U$4:$U$203,$A41)</f>
        <v/>
      </c>
      <c r="C41" s="18" t="n"/>
      <c r="D41" s="18" t="n"/>
      <c r="E41" s="18" t="n"/>
      <c r="F41" s="18" t="n"/>
      <c r="G41" s="18" t="n"/>
      <c r="H41" s="18" t="n"/>
      <c r="I41" s="18" t="n"/>
      <c r="J41" s="18" t="n"/>
      <c r="K41" s="18" t="n"/>
      <c r="L41" s="18" t="n"/>
      <c r="M41" s="18" t="n"/>
      <c r="N41" s="18" t="n"/>
    </row>
    <row r="42">
      <c r="A42" s="18" t="inlineStr">
        <is>
          <t>暂缓</t>
        </is>
      </c>
      <c r="B42" s="138">
        <f>COUNTIF('精益采购计划'!$U$4:$U$203,$A42)</f>
        <v/>
      </c>
      <c r="C42" s="18" t="n"/>
      <c r="D42" s="18" t="n"/>
      <c r="E42" s="18" t="n"/>
      <c r="F42" s="18" t="n"/>
      <c r="G42" s="18" t="n"/>
      <c r="H42" s="18" t="n"/>
      <c r="I42" s="18" t="n"/>
      <c r="J42" s="18" t="n"/>
      <c r="K42" s="18" t="n"/>
      <c r="L42" s="18" t="n"/>
      <c r="M42" s="18" t="n"/>
      <c r="N42" s="18" t="n"/>
    </row>
  </sheetData>
  <mergeCells count="2">
    <mergeCell ref="A2:N2"/>
    <mergeCell ref="A1:N1"/>
  </mergeCells>
  <conditionalFormatting sqref="B10:B16">
    <cfRule type="dataBar" priority="1">
      <dataBar>
        <cfvo type="min"/>
        <cfvo type="max"/>
        <color rgb="0070AD47"/>
      </dataBar>
    </cfRule>
  </conditionalFormatting>
  <conditionalFormatting sqref="F20:F28">
    <cfRule type="dataBar" priority="2">
      <dataBar>
        <cfvo type="min"/>
        <cfvo type="max"/>
        <color rgb="00C00000"/>
      </dataBar>
    </cfRule>
  </conditionalFormatting>
  <pageMargins left="0.7" right="0.7" top="0.75" bottom="0.75" header="0.3" footer="0.3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27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42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</cols>
  <sheetData>
    <row r="1" ht="30" customHeight="1">
      <c r="A1" s="9" t="inlineStr">
        <is>
          <t>参数设置 / 下拉选项维护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36" customHeight="1">
      <c r="A2" s="49" t="inlineStr">
        <is>
          <t>说明：修改本页黄色参数和清单后，相关工作表会自动引用。下拉清单可按公司制度增删。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</row>
    <row r="3"/>
    <row r="4">
      <c r="A4" s="36" t="inlineStr">
        <is>
          <t>参数项</t>
        </is>
      </c>
      <c r="B4" s="36" t="inlineStr">
        <is>
          <t>参数值</t>
        </is>
      </c>
      <c r="C4" s="36" t="inlineStr">
        <is>
          <t>单位/格式</t>
        </is>
      </c>
      <c r="D4" s="36" t="inlineStr">
        <is>
          <t>说明</t>
        </is>
      </c>
    </row>
    <row r="5">
      <c r="A5" s="56" t="inlineStr">
        <is>
          <t>默认安全库存系数</t>
        </is>
      </c>
      <c r="B5" s="139" t="n">
        <v>0.05</v>
      </c>
      <c r="C5" s="18" t="inlineStr">
        <is>
          <t>%</t>
        </is>
      </c>
      <c r="D5" s="18" t="inlineStr">
        <is>
          <t>建议采购量会在计划需求量基础上增加安全库存。</t>
        </is>
      </c>
    </row>
    <row r="6">
      <c r="A6" s="56" t="inlineStr">
        <is>
          <t>默认税率</t>
        </is>
      </c>
      <c r="B6" s="139" t="n">
        <v>0.13</v>
      </c>
      <c r="C6" s="18" t="inlineStr">
        <is>
          <t>%</t>
        </is>
      </c>
      <c r="D6" s="18" t="inlineStr">
        <is>
          <t>材料税率可在物料主数据中单独维护。</t>
        </is>
      </c>
    </row>
    <row r="7">
      <c r="A7" s="56" t="inlineStr">
        <is>
          <t>损耗预警偏差</t>
        </is>
      </c>
      <c r="B7" s="139" t="n">
        <v>0.02</v>
      </c>
      <c r="C7" s="18" t="inlineStr">
        <is>
          <t>%</t>
        </is>
      </c>
      <c r="D7" s="18" t="inlineStr">
        <is>
          <t>实际损耗率高于标准损耗率+该值时应重点复盘。</t>
        </is>
      </c>
    </row>
    <row r="8">
      <c r="A8" s="56" t="inlineStr">
        <is>
          <t>价格预警偏差</t>
        </is>
      </c>
      <c r="B8" s="56" t="n">
        <v>0.05</v>
      </c>
      <c r="C8" s="18" t="inlineStr">
        <is>
          <t>%</t>
        </is>
      </c>
      <c r="D8" s="18" t="inlineStr">
        <is>
          <t>实际/目标价格偏差预警，保留给扩展使用。</t>
        </is>
      </c>
    </row>
    <row r="9">
      <c r="A9" s="56" t="inlineStr">
        <is>
          <t>默认采购提前期</t>
        </is>
      </c>
      <c r="B9" s="56" t="n">
        <v>7</v>
      </c>
      <c r="C9" s="18" t="inlineStr">
        <is>
          <t>天</t>
        </is>
      </c>
      <c r="D9" s="18" t="inlineStr">
        <is>
          <t>物料未维护提前期时采用默认值。</t>
        </is>
      </c>
    </row>
    <row r="10">
      <c r="A10" s="56" t="inlineStr">
        <is>
          <t>公司名称</t>
        </is>
      </c>
      <c r="B10" s="56" t="inlineStr">
        <is>
          <t>示例建设集团有限公司</t>
        </is>
      </c>
      <c r="C10" s="18" t="inlineStr">
        <is>
          <t>文本</t>
        </is>
      </c>
      <c r="D10" s="18" t="inlineStr">
        <is>
          <t>可替换为任意公司名称。</t>
        </is>
      </c>
    </row>
    <row r="11">
      <c r="A11" s="56" t="inlineStr">
        <is>
          <t>项目名称</t>
        </is>
      </c>
      <c r="B11" s="56" t="inlineStr">
        <is>
          <t>示例住宅总承包项目</t>
        </is>
      </c>
      <c r="C11" s="18" t="inlineStr">
        <is>
          <t>文本</t>
        </is>
      </c>
      <c r="D11" s="18" t="inlineStr">
        <is>
          <t>可替换为任意项目名称。</t>
        </is>
      </c>
    </row>
    <row r="12">
      <c r="A12" s="56" t="inlineStr">
        <is>
          <t>计划开始日期</t>
        </is>
      </c>
      <c r="B12" s="132" t="n">
        <v>46143</v>
      </c>
      <c r="C12" s="18" t="inlineStr">
        <is>
          <t>日期</t>
        </is>
      </c>
      <c r="D12" s="18" t="inlineStr">
        <is>
          <t>项目或采购计划周期开始日期。</t>
        </is>
      </c>
    </row>
    <row r="13">
      <c r="A13" s="56" t="inlineStr">
        <is>
          <t>计划结束日期</t>
        </is>
      </c>
      <c r="B13" s="132" t="n">
        <v>46387</v>
      </c>
      <c r="C13" s="18" t="inlineStr">
        <is>
          <t>日期</t>
        </is>
      </c>
      <c r="D13" s="18" t="inlineStr">
        <is>
          <t>项目或采购计划周期结束日期。</t>
        </is>
      </c>
    </row>
    <row r="14"/>
    <row r="15"/>
    <row r="16">
      <c r="A16" s="36" t="inlineStr">
        <is>
          <t>材料类别</t>
        </is>
      </c>
      <c r="B16" s="36" t="inlineStr">
        <is>
          <t>工序</t>
        </is>
      </c>
      <c r="C16" s="36" t="inlineStr">
        <is>
          <t>采购方式</t>
        </is>
      </c>
      <c r="D16" s="36" t="inlineStr">
        <is>
          <t>优先级</t>
        </is>
      </c>
      <c r="E16" s="36" t="inlineStr">
        <is>
          <t>采购状态</t>
        </is>
      </c>
      <c r="F16" s="36" t="inlineStr">
        <is>
          <t>到货状态</t>
        </is>
      </c>
      <c r="G16" s="36" t="inlineStr">
        <is>
          <t>闭环状态</t>
        </is>
      </c>
      <c r="H16" s="36" t="inlineStr">
        <is>
          <t>损耗原因</t>
        </is>
      </c>
      <c r="I16" s="36" t="inlineStr">
        <is>
          <t>供应商等级</t>
        </is>
      </c>
      <c r="J16" s="36" t="inlineStr">
        <is>
          <t>是否</t>
        </is>
      </c>
      <c r="K16" s="36" t="inlineStr">
        <is>
          <t>库存状态</t>
        </is>
      </c>
    </row>
    <row r="17">
      <c r="A17" s="50" t="inlineStr">
        <is>
          <t>钢材</t>
        </is>
      </c>
      <c r="B17" s="50" t="inlineStr">
        <is>
          <t>土方/基础</t>
        </is>
      </c>
      <c r="C17" s="50" t="inlineStr">
        <is>
          <t>集中采购</t>
        </is>
      </c>
      <c r="D17" s="50" t="inlineStr">
        <is>
          <t>高</t>
        </is>
      </c>
      <c r="E17" s="50" t="inlineStr">
        <is>
          <t>需求收集</t>
        </is>
      </c>
      <c r="F17" s="50" t="inlineStr">
        <is>
          <t>未到货</t>
        </is>
      </c>
      <c r="G17" s="50" t="inlineStr">
        <is>
          <t>未开始</t>
        </is>
      </c>
      <c r="H17" s="50" t="inlineStr">
        <is>
          <t>设计变更</t>
        </is>
      </c>
      <c r="I17" s="50" t="inlineStr">
        <is>
          <t>A</t>
        </is>
      </c>
      <c r="J17" s="50" t="inlineStr">
        <is>
          <t>是</t>
        </is>
      </c>
      <c r="K17" s="50" t="inlineStr">
        <is>
          <t>低库存</t>
        </is>
      </c>
    </row>
    <row r="18">
      <c r="A18" s="50" t="inlineStr">
        <is>
          <t>混凝土</t>
        </is>
      </c>
      <c r="B18" s="50" t="inlineStr">
        <is>
          <t>主体结构</t>
        </is>
      </c>
      <c r="C18" s="50" t="inlineStr">
        <is>
          <t>项目采购</t>
        </is>
      </c>
      <c r="D18" s="50" t="inlineStr">
        <is>
          <t>中</t>
        </is>
      </c>
      <c r="E18" s="50" t="inlineStr">
        <is>
          <t>待审批</t>
        </is>
      </c>
      <c r="F18" s="50" t="inlineStr">
        <is>
          <t>部分到货</t>
        </is>
      </c>
      <c r="G18" s="50" t="inlineStr">
        <is>
          <t>进行中</t>
        </is>
      </c>
      <c r="H18" s="50" t="inlineStr">
        <is>
          <t>施工返工</t>
        </is>
      </c>
      <c r="I18" s="50" t="inlineStr">
        <is>
          <t>B</t>
        </is>
      </c>
      <c r="J18" s="50" t="inlineStr">
        <is>
          <t>否</t>
        </is>
      </c>
      <c r="K18" s="50" t="inlineStr">
        <is>
          <t>正常</t>
        </is>
      </c>
    </row>
    <row r="19">
      <c r="A19" s="50" t="inlineStr">
        <is>
          <t>水泥砂石</t>
        </is>
      </c>
      <c r="B19" s="50" t="inlineStr">
        <is>
          <t>砌筑</t>
        </is>
      </c>
      <c r="C19" s="50" t="inlineStr">
        <is>
          <t>框架协议</t>
        </is>
      </c>
      <c r="D19" s="50" t="inlineStr">
        <is>
          <t>低</t>
        </is>
      </c>
      <c r="E19" s="50" t="inlineStr">
        <is>
          <t>待询价</t>
        </is>
      </c>
      <c r="F19" s="50" t="inlineStr">
        <is>
          <t>待验收</t>
        </is>
      </c>
      <c r="G19" s="50" t="inlineStr">
        <is>
          <t>已完成</t>
        </is>
      </c>
      <c r="H19" s="50" t="inlineStr">
        <is>
          <t>下料/切割损耗</t>
        </is>
      </c>
      <c r="I19" s="50" t="inlineStr">
        <is>
          <t>C</t>
        </is>
      </c>
      <c r="K19" s="50" t="inlineStr">
        <is>
          <t>高库存</t>
        </is>
      </c>
    </row>
    <row r="20">
      <c r="A20" s="50" t="inlineStr">
        <is>
          <t>砌体材料</t>
        </is>
      </c>
      <c r="B20" s="50" t="inlineStr">
        <is>
          <t>抹灰</t>
        </is>
      </c>
      <c r="C20" s="50" t="inlineStr">
        <is>
          <t>比价采购</t>
        </is>
      </c>
      <c r="E20" s="50" t="inlineStr">
        <is>
          <t>待下单</t>
        </is>
      </c>
      <c r="F20" s="50" t="inlineStr">
        <is>
          <t>验收合格</t>
        </is>
      </c>
      <c r="G20" s="50" t="inlineStr">
        <is>
          <t>已验证</t>
        </is>
      </c>
      <c r="H20" s="50" t="inlineStr">
        <is>
          <t>运输破损</t>
        </is>
      </c>
      <c r="I20" s="50" t="inlineStr">
        <is>
          <t>D</t>
        </is>
      </c>
      <c r="K20" s="50" t="inlineStr">
        <is>
          <t>呆滞风险</t>
        </is>
      </c>
    </row>
    <row r="21">
      <c r="A21" s="50" t="inlineStr">
        <is>
          <t>防水保温</t>
        </is>
      </c>
      <c r="B21" s="50" t="inlineStr">
        <is>
          <t>防水</t>
        </is>
      </c>
      <c r="C21" s="50" t="inlineStr">
        <is>
          <t>招标采购</t>
        </is>
      </c>
      <c r="E21" s="50" t="inlineStr">
        <is>
          <t>已下单</t>
        </is>
      </c>
      <c r="F21" s="50" t="inlineStr">
        <is>
          <t>验收不合格</t>
        </is>
      </c>
      <c r="G21" s="50" t="inlineStr">
        <is>
          <t>关闭</t>
        </is>
      </c>
      <c r="H21" s="50" t="inlineStr">
        <is>
          <t>保管不当</t>
        </is>
      </c>
    </row>
    <row r="22">
      <c r="A22" s="50" t="inlineStr">
        <is>
          <t>装饰装修</t>
        </is>
      </c>
      <c r="B22" s="50" t="inlineStr">
        <is>
          <t>保温</t>
        </is>
      </c>
      <c r="C22" s="50" t="inlineStr">
        <is>
          <t>应急采购</t>
        </is>
      </c>
      <c r="E22" s="50" t="inlineStr">
        <is>
          <t>部分到货</t>
        </is>
      </c>
      <c r="F22" s="50" t="inlineStr">
        <is>
          <t>已入库</t>
        </is>
      </c>
      <c r="H22" s="50" t="inlineStr">
        <is>
          <t>计量偏差</t>
        </is>
      </c>
    </row>
    <row r="23">
      <c r="A23" s="50" t="inlineStr">
        <is>
          <t>机电材料</t>
        </is>
      </c>
      <c r="B23" s="50" t="inlineStr">
        <is>
          <t>装饰</t>
        </is>
      </c>
      <c r="C23" s="50" t="inlineStr">
        <is>
          <t>直采</t>
        </is>
      </c>
      <c r="E23" s="50" t="inlineStr">
        <is>
          <t>已到货</t>
        </is>
      </c>
      <c r="H23" s="50" t="inlineStr">
        <is>
          <t>质量退换</t>
        </is>
      </c>
    </row>
    <row r="24">
      <c r="A24" s="50" t="inlineStr">
        <is>
          <t>周转材料</t>
        </is>
      </c>
      <c r="B24" s="50" t="inlineStr">
        <is>
          <t>安装</t>
        </is>
      </c>
      <c r="E24" s="50" t="inlineStr">
        <is>
          <t>已关闭</t>
        </is>
      </c>
      <c r="H24" s="50" t="inlineStr">
        <is>
          <t>超发超领</t>
        </is>
      </c>
    </row>
    <row r="25">
      <c r="A25" s="50" t="inlineStr">
        <is>
          <t>临设材料</t>
        </is>
      </c>
      <c r="B25" s="50" t="inlineStr">
        <is>
          <t>市政/室外</t>
        </is>
      </c>
      <c r="E25" s="50" t="inlineStr">
        <is>
          <t>暂缓</t>
        </is>
      </c>
      <c r="H25" s="50" t="inlineStr">
        <is>
          <t>其他</t>
        </is>
      </c>
    </row>
    <row r="26">
      <c r="A26" s="50" t="inlineStr">
        <is>
          <t>其他</t>
        </is>
      </c>
      <c r="B26" s="50" t="inlineStr">
        <is>
          <t>临设</t>
        </is>
      </c>
    </row>
    <row r="27">
      <c r="B27" s="50" t="inlineStr">
        <is>
          <t>其他</t>
        </is>
      </c>
    </row>
  </sheetData>
  <mergeCells count="2">
    <mergeCell ref="A2:K2"/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2" customWidth="1" min="3" max="3"/>
    <col width="14" customWidth="1" min="4" max="4"/>
    <col width="8" customWidth="1" min="5" max="5"/>
    <col width="14" customWidth="1" min="6" max="6"/>
    <col width="12" customWidth="1" min="7" max="7"/>
    <col width="14" customWidth="1" min="8" max="8"/>
    <col width="14" customWidth="1" min="9" max="9"/>
    <col width="12" customWidth="1" min="10" max="10"/>
    <col width="12" customWidth="1" min="11" max="11"/>
    <col width="12" customWidth="1" min="12" max="12"/>
    <col width="10" customWidth="1" min="13" max="13"/>
    <col width="20" customWidth="1" min="14" max="14"/>
    <col width="16" customWidth="1" min="15" max="15"/>
    <col width="10" customWidth="1" min="16" max="16"/>
    <col width="24" customWidth="1" min="17" max="17"/>
  </cols>
  <sheetData>
    <row r="1" ht="30" customHeight="1">
      <c r="A1" s="72" t="inlineStr">
        <is>
          <t>材料清单与损耗标准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</row>
    <row r="2" ht="36" customHeight="1">
      <c r="A2" s="49" t="inlineStr">
        <is>
          <t>说明：维护物料编码、标准损耗率、允许上限、采购提前期、起订量/包装规格、目标单价和供应商。黄色为录入区。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</row>
    <row r="3">
      <c r="A3" s="36" t="inlineStr">
        <is>
          <t>材料编码</t>
        </is>
      </c>
      <c r="B3" s="36" t="inlineStr">
        <is>
          <t>材料名称</t>
        </is>
      </c>
      <c r="C3" s="36" t="inlineStr">
        <is>
          <t>类别</t>
        </is>
      </c>
      <c r="D3" s="36" t="inlineStr">
        <is>
          <t>规格型号</t>
        </is>
      </c>
      <c r="E3" s="36" t="inlineStr">
        <is>
          <t>单位</t>
        </is>
      </c>
      <c r="F3" s="36" t="inlineStr">
        <is>
          <t>设计/预算单耗</t>
        </is>
      </c>
      <c r="G3" s="36" t="inlineStr">
        <is>
          <t>标准损耗率</t>
        </is>
      </c>
      <c r="H3" s="36" t="inlineStr">
        <is>
          <t>允许损耗上限</t>
        </is>
      </c>
      <c r="I3" s="36" t="inlineStr">
        <is>
          <t>采购提前期(天)</t>
        </is>
      </c>
      <c r="J3" s="36" t="inlineStr">
        <is>
          <t>最小起订量</t>
        </is>
      </c>
      <c r="K3" s="36" t="inlineStr">
        <is>
          <t>包装规格</t>
        </is>
      </c>
      <c r="L3" s="36" t="inlineStr">
        <is>
          <t>目标单价</t>
        </is>
      </c>
      <c r="M3" s="36" t="inlineStr">
        <is>
          <t>税率</t>
        </is>
      </c>
      <c r="N3" s="36" t="inlineStr">
        <is>
          <t>主要供应商</t>
        </is>
      </c>
      <c r="O3" s="36" t="inlineStr">
        <is>
          <t>替代材料</t>
        </is>
      </c>
      <c r="P3" s="36" t="inlineStr">
        <is>
          <t>关键材料</t>
        </is>
      </c>
      <c r="Q3" s="36" t="inlineStr">
        <is>
          <t>备注</t>
        </is>
      </c>
    </row>
    <row r="4">
      <c r="A4" s="56" t="inlineStr">
        <is>
          <t>M001</t>
        </is>
      </c>
      <c r="B4" s="56" t="inlineStr">
        <is>
          <t>钢筋</t>
        </is>
      </c>
      <c r="C4" s="56" t="inlineStr">
        <is>
          <t>钢材</t>
        </is>
      </c>
      <c r="D4" s="56" t="inlineStr">
        <is>
          <t>HRB400 Φ16</t>
        </is>
      </c>
      <c r="E4" s="56" t="inlineStr">
        <is>
          <t>t</t>
        </is>
      </c>
      <c r="F4" s="140" t="n">
        <v>0.095</v>
      </c>
      <c r="G4" s="139" t="n">
        <v>0.025</v>
      </c>
      <c r="H4" s="139" t="n">
        <v>0.04</v>
      </c>
      <c r="I4" s="141" t="n">
        <v>10</v>
      </c>
      <c r="J4" s="141" t="n">
        <v>1</v>
      </c>
      <c r="K4" s="56" t="inlineStr">
        <is>
          <t>1t</t>
        </is>
      </c>
      <c r="L4" s="142" t="n">
        <v>4200</v>
      </c>
      <c r="M4" s="139" t="n">
        <v>0.13</v>
      </c>
      <c r="N4" s="56" t="inlineStr">
        <is>
          <t>华北钢材供应链</t>
        </is>
      </c>
      <c r="O4" s="56" t="inlineStr">
        <is>
          <t>同级替代规格</t>
        </is>
      </c>
      <c r="P4" s="56" t="inlineStr">
        <is>
          <t>是</t>
        </is>
      </c>
      <c r="Q4" s="56" t="inlineStr">
        <is>
          <t>主体结构关键材料</t>
        </is>
      </c>
    </row>
    <row r="5">
      <c r="A5" s="56" t="inlineStr">
        <is>
          <t>M002</t>
        </is>
      </c>
      <c r="B5" s="56" t="inlineStr">
        <is>
          <t>商品混凝土</t>
        </is>
      </c>
      <c r="C5" s="56" t="inlineStr">
        <is>
          <t>混凝土</t>
        </is>
      </c>
      <c r="D5" s="56" t="inlineStr">
        <is>
          <t>C30</t>
        </is>
      </c>
      <c r="E5" s="56" t="inlineStr">
        <is>
          <t>m³</t>
        </is>
      </c>
      <c r="F5" s="140" t="n">
        <v>1.02</v>
      </c>
      <c r="G5" s="139" t="n">
        <v>0.015</v>
      </c>
      <c r="H5" s="139" t="n">
        <v>0.03</v>
      </c>
      <c r="I5" s="141" t="n">
        <v>3</v>
      </c>
      <c r="J5" s="141" t="n">
        <v>1</v>
      </c>
      <c r="K5" s="56" t="inlineStr">
        <is>
          <t>1m³</t>
        </is>
      </c>
      <c r="L5" s="142" t="n">
        <v>465</v>
      </c>
      <c r="M5" s="139" t="n">
        <v>0.03</v>
      </c>
      <c r="N5" s="56" t="inlineStr">
        <is>
          <t>城建商砼</t>
        </is>
      </c>
      <c r="O5" s="56" t="inlineStr">
        <is>
          <t>C30同等强度</t>
        </is>
      </c>
      <c r="P5" s="56" t="inlineStr">
        <is>
          <t>是</t>
        </is>
      </c>
      <c r="Q5" s="56" t="inlineStr">
        <is>
          <t>按浇筑计划分批到场</t>
        </is>
      </c>
    </row>
    <row r="6">
      <c r="A6" s="56" t="inlineStr">
        <is>
          <t>M003</t>
        </is>
      </c>
      <c r="B6" s="56" t="inlineStr">
        <is>
          <t>水泥</t>
        </is>
      </c>
      <c r="C6" s="56" t="inlineStr">
        <is>
          <t>水泥砂石</t>
        </is>
      </c>
      <c r="D6" s="56" t="inlineStr">
        <is>
          <t>P.O 42.5</t>
        </is>
      </c>
      <c r="E6" s="56" t="inlineStr">
        <is>
          <t>t</t>
        </is>
      </c>
      <c r="F6" s="140" t="n">
        <v>0.2</v>
      </c>
      <c r="G6" s="139" t="n">
        <v>0.02</v>
      </c>
      <c r="H6" s="139" t="n">
        <v>0.04</v>
      </c>
      <c r="I6" s="141" t="n">
        <v>5</v>
      </c>
      <c r="J6" s="141" t="n">
        <v>1</v>
      </c>
      <c r="K6" s="56" t="inlineStr">
        <is>
          <t>1t</t>
        </is>
      </c>
      <c r="L6" s="142" t="n">
        <v>520</v>
      </c>
      <c r="M6" s="139" t="n">
        <v>0.13</v>
      </c>
      <c r="N6" s="56" t="inlineStr">
        <is>
          <t>华东水泥</t>
        </is>
      </c>
      <c r="O6" s="56" t="inlineStr">
        <is>
          <t>同标号水泥</t>
        </is>
      </c>
      <c r="P6" s="56" t="inlineStr">
        <is>
          <t>否</t>
        </is>
      </c>
      <c r="Q6" s="56" t="inlineStr">
        <is>
          <t>注意防潮</t>
        </is>
      </c>
    </row>
    <row r="7">
      <c r="A7" s="56" t="inlineStr">
        <is>
          <t>M004</t>
        </is>
      </c>
      <c r="B7" s="56" t="inlineStr">
        <is>
          <t>中砂</t>
        </is>
      </c>
      <c r="C7" s="56" t="inlineStr">
        <is>
          <t>水泥砂石</t>
        </is>
      </c>
      <c r="D7" s="56" t="inlineStr">
        <is>
          <t>中砂</t>
        </is>
      </c>
      <c r="E7" s="56" t="inlineStr">
        <is>
          <t>m³</t>
        </is>
      </c>
      <c r="F7" s="140" t="n">
        <v>0.6</v>
      </c>
      <c r="G7" s="139" t="n">
        <v>0.03</v>
      </c>
      <c r="H7" s="139" t="n">
        <v>0.05</v>
      </c>
      <c r="I7" s="141" t="n">
        <v>4</v>
      </c>
      <c r="J7" s="141" t="n">
        <v>5</v>
      </c>
      <c r="K7" s="56" t="inlineStr">
        <is>
          <t>5m³</t>
        </is>
      </c>
      <c r="L7" s="142" t="n">
        <v>130</v>
      </c>
      <c r="M7" s="139" t="n">
        <v>0.13</v>
      </c>
      <c r="N7" s="56" t="inlineStr">
        <is>
          <t>本地砂石场</t>
        </is>
      </c>
      <c r="O7" s="56" t="inlineStr">
        <is>
          <t>机制砂</t>
        </is>
      </c>
      <c r="P7" s="56" t="inlineStr">
        <is>
          <t>否</t>
        </is>
      </c>
      <c r="Q7" s="56" t="inlineStr">
        <is>
          <t>按含泥量验收</t>
        </is>
      </c>
    </row>
    <row r="8">
      <c r="A8" s="56" t="inlineStr">
        <is>
          <t>M005</t>
        </is>
      </c>
      <c r="B8" s="56" t="inlineStr">
        <is>
          <t>SBS防水卷材</t>
        </is>
      </c>
      <c r="C8" s="56" t="inlineStr">
        <is>
          <t>防水保温</t>
        </is>
      </c>
      <c r="D8" s="56" t="inlineStr">
        <is>
          <t>4mm</t>
        </is>
      </c>
      <c r="E8" s="56" t="inlineStr">
        <is>
          <t>㎡</t>
        </is>
      </c>
      <c r="F8" s="140" t="n">
        <v>1.08</v>
      </c>
      <c r="G8" s="139" t="n">
        <v>0.05</v>
      </c>
      <c r="H8" s="139" t="n">
        <v>0.08</v>
      </c>
      <c r="I8" s="141" t="n">
        <v>7</v>
      </c>
      <c r="J8" s="141" t="n">
        <v>100</v>
      </c>
      <c r="K8" s="56" t="inlineStr">
        <is>
          <t>100㎡/批</t>
        </is>
      </c>
      <c r="L8" s="142" t="n">
        <v>38</v>
      </c>
      <c r="M8" s="139" t="n">
        <v>0.13</v>
      </c>
      <c r="N8" s="56" t="inlineStr">
        <is>
          <t>防水材料公司</t>
        </is>
      </c>
      <c r="O8" s="56" t="inlineStr">
        <is>
          <t>同等级卷材</t>
        </is>
      </c>
      <c r="P8" s="56" t="inlineStr">
        <is>
          <t>是</t>
        </is>
      </c>
      <c r="Q8" s="56" t="inlineStr">
        <is>
          <t>搭接损耗需重点控制</t>
        </is>
      </c>
    </row>
    <row r="9">
      <c r="A9" s="56" t="inlineStr">
        <is>
          <t>M006</t>
        </is>
      </c>
      <c r="B9" s="56" t="inlineStr">
        <is>
          <t>瓷砖</t>
        </is>
      </c>
      <c r="C9" s="56" t="inlineStr">
        <is>
          <t>装饰装修</t>
        </is>
      </c>
      <c r="D9" s="56" t="inlineStr">
        <is>
          <t>600×600</t>
        </is>
      </c>
      <c r="E9" s="56" t="inlineStr">
        <is>
          <t>㎡</t>
        </is>
      </c>
      <c r="F9" s="140" t="n">
        <v>1.05</v>
      </c>
      <c r="G9" s="139" t="n">
        <v>0.04</v>
      </c>
      <c r="H9" s="139" t="n">
        <v>0.06</v>
      </c>
      <c r="I9" s="141" t="n">
        <v>12</v>
      </c>
      <c r="J9" s="141" t="n">
        <v>50</v>
      </c>
      <c r="K9" s="56" t="inlineStr">
        <is>
          <t>50㎡/批</t>
        </is>
      </c>
      <c r="L9" s="142" t="n">
        <v>86</v>
      </c>
      <c r="M9" s="139" t="n">
        <v>0.13</v>
      </c>
      <c r="N9" s="56" t="inlineStr">
        <is>
          <t>装饰材料城</t>
        </is>
      </c>
      <c r="O9" s="56" t="inlineStr">
        <is>
          <t>替代品牌</t>
        </is>
      </c>
      <c r="P9" s="56" t="inlineStr">
        <is>
          <t>否</t>
        </is>
      </c>
      <c r="Q9" s="56" t="inlineStr">
        <is>
          <t>色号批次需一致</t>
        </is>
      </c>
    </row>
    <row r="10">
      <c r="A10" s="56" t="inlineStr">
        <is>
          <t>M007</t>
        </is>
      </c>
      <c r="B10" s="56" t="inlineStr">
        <is>
          <t>PVC电线管</t>
        </is>
      </c>
      <c r="C10" s="56" t="inlineStr">
        <is>
          <t>机电材料</t>
        </is>
      </c>
      <c r="D10" s="56" t="inlineStr">
        <is>
          <t>DN20</t>
        </is>
      </c>
      <c r="E10" s="56" t="inlineStr">
        <is>
          <t>m</t>
        </is>
      </c>
      <c r="F10" s="140" t="n">
        <v>1.1</v>
      </c>
      <c r="G10" s="139" t="n">
        <v>0.025</v>
      </c>
      <c r="H10" s="139" t="n">
        <v>0.04</v>
      </c>
      <c r="I10" s="141" t="n">
        <v>6</v>
      </c>
      <c r="J10" s="141" t="n">
        <v>100</v>
      </c>
      <c r="K10" s="56" t="inlineStr">
        <is>
          <t>100m/捆</t>
        </is>
      </c>
      <c r="L10" s="142" t="n">
        <v>3.2</v>
      </c>
      <c r="M10" s="139" t="n">
        <v>0.13</v>
      </c>
      <c r="N10" s="56" t="inlineStr">
        <is>
          <t>机电供应商</t>
        </is>
      </c>
      <c r="O10" s="56" t="inlineStr">
        <is>
          <t>同规格管材</t>
        </is>
      </c>
      <c r="P10" s="56" t="inlineStr">
        <is>
          <t>否</t>
        </is>
      </c>
      <c r="Q10" s="56" t="inlineStr">
        <is>
          <t>预埋阶段计划</t>
        </is>
      </c>
    </row>
    <row r="11">
      <c r="A11" s="56" t="inlineStr">
        <is>
          <t>M008</t>
        </is>
      </c>
      <c r="B11" s="56" t="inlineStr">
        <is>
          <t>模板木方</t>
        </is>
      </c>
      <c r="C11" s="56" t="inlineStr">
        <is>
          <t>周转材料</t>
        </is>
      </c>
      <c r="D11" s="56" t="inlineStr">
        <is>
          <t>40×90</t>
        </is>
      </c>
      <c r="E11" s="56" t="inlineStr">
        <is>
          <t>m³</t>
        </is>
      </c>
      <c r="F11" s="140" t="n">
        <v>0.05</v>
      </c>
      <c r="G11" s="139" t="n">
        <v>0.08</v>
      </c>
      <c r="H11" s="139" t="n">
        <v>0.12</v>
      </c>
      <c r="I11" s="141" t="n">
        <v>8</v>
      </c>
      <c r="J11" s="141" t="n">
        <v>1</v>
      </c>
      <c r="K11" s="56" t="inlineStr">
        <is>
          <t>1m³</t>
        </is>
      </c>
      <c r="L11" s="142" t="n">
        <v>1850</v>
      </c>
      <c r="M11" s="139" t="n">
        <v>0.13</v>
      </c>
      <c r="N11" s="56" t="inlineStr">
        <is>
          <t>周转材料租赁</t>
        </is>
      </c>
      <c r="O11" s="56" t="inlineStr">
        <is>
          <t>租赁替代</t>
        </is>
      </c>
      <c r="P11" s="56" t="inlineStr">
        <is>
          <t>是</t>
        </is>
      </c>
      <c r="Q11" s="56" t="inlineStr">
        <is>
          <t>周转损耗需盘点</t>
        </is>
      </c>
    </row>
  </sheetData>
  <mergeCells count="2">
    <mergeCell ref="A2:Q2"/>
    <mergeCell ref="A1:Q1"/>
  </mergeCells>
  <dataValidations count="2">
    <dataValidation sqref="C4:C11" showDropDown="0" showInputMessage="0" showErrorMessage="0" allowBlank="0" type="list">
      <formula1>'参数设置'!$A$17:$A$26</formula1>
    </dataValidation>
    <dataValidation sqref="P4:P11" showDropDown="0" showInputMessage="0" showErrorMessage="0" allowBlank="0" type="list">
      <formula1>'参数设置'!$J$17:$J$18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R8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2" customWidth="1" min="3" max="3"/>
    <col width="12" customWidth="1" min="4" max="4"/>
    <col width="16" customWidth="1" min="5" max="5"/>
    <col width="12" customWidth="1" min="6" max="6"/>
    <col width="8" customWidth="1" min="7" max="7"/>
    <col width="12" customWidth="1" min="8" max="8"/>
    <col width="14" customWidth="1" min="9" max="9"/>
    <col width="14" customWidth="1" min="10" max="10"/>
    <col width="12" customWidth="1" min="11" max="11"/>
    <col width="14" customWidth="1" min="12" max="12"/>
    <col width="14" customWidth="1" min="13" max="13"/>
    <col width="14" customWidth="1" min="14" max="14"/>
    <col width="14" customWidth="1" min="15" max="15"/>
    <col width="12" customWidth="1" min="16" max="16"/>
    <col width="10" customWidth="1" min="17" max="17"/>
    <col width="24" customWidth="1" min="18" max="18"/>
  </cols>
  <sheetData>
    <row r="1" ht="30" customHeight="1">
      <c r="A1" s="72" t="inlineStr">
        <is>
          <t>工程量与需求计划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</row>
    <row r="2" ht="36" customHeight="1">
      <c r="A2" s="49" t="inlineStr">
        <is>
          <t>说明：录入项目/楼栋、分部分项、工序、材料编码、计划工程量和单位理论用量，自动计算理论净需求、标准损耗量、计划需求量和建议采购量。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</row>
    <row r="3">
      <c r="A3" s="36" t="inlineStr">
        <is>
          <t>项目/楼栋</t>
        </is>
      </c>
      <c r="B3" s="36" t="inlineStr">
        <is>
          <t>分部分项</t>
        </is>
      </c>
      <c r="C3" s="36" t="inlineStr">
        <is>
          <t>工序</t>
        </is>
      </c>
      <c r="D3" s="36" t="inlineStr">
        <is>
          <t>材料编码</t>
        </is>
      </c>
      <c r="E3" s="36" t="inlineStr">
        <is>
          <t>材料名称</t>
        </is>
      </c>
      <c r="F3" s="36" t="inlineStr">
        <is>
          <t>类别</t>
        </is>
      </c>
      <c r="G3" s="36" t="inlineStr">
        <is>
          <t>单位</t>
        </is>
      </c>
      <c r="H3" s="36" t="inlineStr">
        <is>
          <t>计划工程量</t>
        </is>
      </c>
      <c r="I3" s="36" t="inlineStr">
        <is>
          <t>单位理论用量</t>
        </is>
      </c>
      <c r="J3" s="36" t="inlineStr">
        <is>
          <t>理论净需求</t>
        </is>
      </c>
      <c r="K3" s="36" t="inlineStr">
        <is>
          <t>标准损耗率</t>
        </is>
      </c>
      <c r="L3" s="36" t="inlineStr">
        <is>
          <t>标准损耗量</t>
        </is>
      </c>
      <c r="M3" s="36" t="inlineStr">
        <is>
          <t>计划需求量</t>
        </is>
      </c>
      <c r="N3" s="36" t="inlineStr">
        <is>
          <t>安全库存系数</t>
        </is>
      </c>
      <c r="O3" s="36" t="inlineStr">
        <is>
          <t>建议采购量</t>
        </is>
      </c>
      <c r="P3" s="36" t="inlineStr">
        <is>
          <t>需求日期</t>
        </is>
      </c>
      <c r="Q3" s="36" t="inlineStr">
        <is>
          <t>责任人</t>
        </is>
      </c>
      <c r="R3" s="36" t="inlineStr">
        <is>
          <t>备注</t>
        </is>
      </c>
    </row>
    <row r="4">
      <c r="A4" s="56" t="inlineStr">
        <is>
          <t>1#楼</t>
        </is>
      </c>
      <c r="B4" s="56" t="inlineStr">
        <is>
          <t>地下室底板</t>
        </is>
      </c>
      <c r="C4" s="56" t="inlineStr">
        <is>
          <t>主体结构</t>
        </is>
      </c>
      <c r="D4" s="56" t="inlineStr">
        <is>
          <t>M001</t>
        </is>
      </c>
      <c r="E4" s="80">
        <f>IF($D4="","",IFERROR(VLOOKUP($D4,'材料清单与损耗标准'!$A$4:$Q$203,2,FALSE),""))</f>
        <v/>
      </c>
      <c r="F4" s="80">
        <f>IF($D4="","",IFERROR(VLOOKUP($D4,'材料清单与损耗标准'!$A$4:$Q$203,3,FALSE),""))</f>
        <v/>
      </c>
      <c r="G4" s="80">
        <f>IF($D4="","",IFERROR(VLOOKUP($D4,'材料清单与损耗标准'!$A$4:$Q$203,5,FALSE),""))</f>
        <v/>
      </c>
      <c r="H4" s="56" t="n">
        <v>1200</v>
      </c>
      <c r="I4" s="56" t="n">
        <v>0.095</v>
      </c>
      <c r="J4" s="143">
        <f>IF($D4="","",IFERROR($H4*$I4,0))</f>
        <v/>
      </c>
      <c r="K4" s="143">
        <f>IF($D4="","",IFERROR(VLOOKUP($D4,'材料清单与损耗标准'!$A$4:$Q$203,7,FALSE),0))</f>
        <v/>
      </c>
      <c r="L4" s="143">
        <f>IF($D4="","",IFERROR($J4*$K4,0))</f>
        <v/>
      </c>
      <c r="M4" s="143">
        <f>IF($D4="","",IFERROR($J4+$L4,0))</f>
        <v/>
      </c>
      <c r="N4" s="144">
        <f>IF($D4="","",'参数设置'!$B$5)</f>
        <v/>
      </c>
      <c r="O4" s="143">
        <f>IF($D4="","",IFERROR(CEILING($M4*(1+$N4),MAX(1,VLOOKUP($D4,'材料清单与损耗标准'!$A$4:$Q$203,10,FALSE))),$M4*(1+$N4)))</f>
        <v/>
      </c>
      <c r="P4" s="132" t="n">
        <v>46183</v>
      </c>
      <c r="Q4" s="56" t="inlineStr">
        <is>
          <t>张工</t>
        </is>
      </c>
      <c r="R4" s="56" t="inlineStr">
        <is>
          <t>钢筋按批次进场</t>
        </is>
      </c>
    </row>
    <row r="5">
      <c r="A5" s="56" t="inlineStr">
        <is>
          <t>1#楼</t>
        </is>
      </c>
      <c r="B5" s="56" t="inlineStr">
        <is>
          <t>地下室底板</t>
        </is>
      </c>
      <c r="C5" s="56" t="inlineStr">
        <is>
          <t>主体结构</t>
        </is>
      </c>
      <c r="D5" s="56" t="inlineStr">
        <is>
          <t>M002</t>
        </is>
      </c>
      <c r="E5" s="80">
        <f>IF($D5="","",IFERROR(VLOOKUP($D5,'材料清单与损耗标准'!$A$4:$Q$203,2,FALSE),""))</f>
        <v/>
      </c>
      <c r="F5" s="80">
        <f>IF($D5="","",IFERROR(VLOOKUP($D5,'材料清单与损耗标准'!$A$4:$Q$203,3,FALSE),""))</f>
        <v/>
      </c>
      <c r="G5" s="80">
        <f>IF($D5="","",IFERROR(VLOOKUP($D5,'材料清单与损耗标准'!$A$4:$Q$203,5,FALSE),""))</f>
        <v/>
      </c>
      <c r="H5" s="56" t="n">
        <v>450</v>
      </c>
      <c r="I5" s="56" t="n">
        <v>1.02</v>
      </c>
      <c r="J5" s="143">
        <f>IF($D5="","",IFERROR($H5*$I5,0))</f>
        <v/>
      </c>
      <c r="K5" s="143">
        <f>IF($D5="","",IFERROR(VLOOKUP($D5,'材料清单与损耗标准'!$A$4:$Q$203,7,FALSE),0))</f>
        <v/>
      </c>
      <c r="L5" s="143">
        <f>IF($D5="","",IFERROR($J5*$K5,0))</f>
        <v/>
      </c>
      <c r="M5" s="143">
        <f>IF($D5="","",IFERROR($J5+$L5,0))</f>
        <v/>
      </c>
      <c r="N5" s="144">
        <f>IF($D5="","",'参数设置'!$B$5)</f>
        <v/>
      </c>
      <c r="O5" s="143">
        <f>IF($D5="","",IFERROR(CEILING($M5*(1+$N5),MAX(1,VLOOKUP($D5,'材料清单与损耗标准'!$A$4:$Q$203,10,FALSE))),$M5*(1+$N5)))</f>
        <v/>
      </c>
      <c r="P5" s="132" t="n">
        <v>46181</v>
      </c>
      <c r="Q5" s="56" t="inlineStr">
        <is>
          <t>李工</t>
        </is>
      </c>
      <c r="R5" s="56" t="inlineStr">
        <is>
          <t>混凝土按浇筑计划</t>
        </is>
      </c>
    </row>
    <row r="6">
      <c r="A6" s="56" t="inlineStr">
        <is>
          <t>2#楼</t>
        </is>
      </c>
      <c r="B6" s="56" t="inlineStr">
        <is>
          <t>屋面防水</t>
        </is>
      </c>
      <c r="C6" s="56" t="inlineStr">
        <is>
          <t>防水</t>
        </is>
      </c>
      <c r="D6" s="56" t="inlineStr">
        <is>
          <t>M005</t>
        </is>
      </c>
      <c r="E6" s="80">
        <f>IF($D6="","",IFERROR(VLOOKUP($D6,'材料清单与损耗标准'!$A$4:$Q$203,2,FALSE),""))</f>
        <v/>
      </c>
      <c r="F6" s="80">
        <f>IF($D6="","",IFERROR(VLOOKUP($D6,'材料清单与损耗标准'!$A$4:$Q$203,3,FALSE),""))</f>
        <v/>
      </c>
      <c r="G6" s="80">
        <f>IF($D6="","",IFERROR(VLOOKUP($D6,'材料清单与损耗标准'!$A$4:$Q$203,5,FALSE),""))</f>
        <v/>
      </c>
      <c r="H6" s="56" t="n">
        <v>3000</v>
      </c>
      <c r="I6" s="56" t="n">
        <v>1.08</v>
      </c>
      <c r="J6" s="143">
        <f>IF($D6="","",IFERROR($H6*$I6,0))</f>
        <v/>
      </c>
      <c r="K6" s="143">
        <f>IF($D6="","",IFERROR(VLOOKUP($D6,'材料清单与损耗标准'!$A$4:$Q$203,7,FALSE),0))</f>
        <v/>
      </c>
      <c r="L6" s="143">
        <f>IF($D6="","",IFERROR($J6*$K6,0))</f>
        <v/>
      </c>
      <c r="M6" s="143">
        <f>IF($D6="","",IFERROR($J6+$L6,0))</f>
        <v/>
      </c>
      <c r="N6" s="144">
        <f>IF($D6="","",'参数设置'!$B$5)</f>
        <v/>
      </c>
      <c r="O6" s="143">
        <f>IF($D6="","",IFERROR(CEILING($M6*(1+$N6),MAX(1,VLOOKUP($D6,'材料清单与损耗标准'!$A$4:$Q$203,10,FALSE))),$M6*(1+$N6)))</f>
        <v/>
      </c>
      <c r="P6" s="132" t="n">
        <v>46218</v>
      </c>
      <c r="Q6" s="56" t="inlineStr">
        <is>
          <t>王工</t>
        </is>
      </c>
      <c r="R6" s="56" t="inlineStr">
        <is>
          <t>卷材搭接损耗控制</t>
        </is>
      </c>
    </row>
    <row r="7">
      <c r="A7" s="56" t="inlineStr">
        <is>
          <t>精装样板间</t>
        </is>
      </c>
      <c r="B7" s="56" t="inlineStr">
        <is>
          <t>地面铺贴</t>
        </is>
      </c>
      <c r="C7" s="56" t="inlineStr">
        <is>
          <t>装饰</t>
        </is>
      </c>
      <c r="D7" s="56" t="inlineStr">
        <is>
          <t>M006</t>
        </is>
      </c>
      <c r="E7" s="80">
        <f>IF($D7="","",IFERROR(VLOOKUP($D7,'材料清单与损耗标准'!$A$4:$Q$203,2,FALSE),""))</f>
        <v/>
      </c>
      <c r="F7" s="80">
        <f>IF($D7="","",IFERROR(VLOOKUP($D7,'材料清单与损耗标准'!$A$4:$Q$203,3,FALSE),""))</f>
        <v/>
      </c>
      <c r="G7" s="80">
        <f>IF($D7="","",IFERROR(VLOOKUP($D7,'材料清单与损耗标准'!$A$4:$Q$203,5,FALSE),""))</f>
        <v/>
      </c>
      <c r="H7" s="56" t="n">
        <v>800</v>
      </c>
      <c r="I7" s="56" t="n">
        <v>1.05</v>
      </c>
      <c r="J7" s="143">
        <f>IF($D7="","",IFERROR($H7*$I7,0))</f>
        <v/>
      </c>
      <c r="K7" s="143">
        <f>IF($D7="","",IFERROR(VLOOKUP($D7,'材料清单与损耗标准'!$A$4:$Q$203,7,FALSE),0))</f>
        <v/>
      </c>
      <c r="L7" s="143">
        <f>IF($D7="","",IFERROR($J7*$K7,0))</f>
        <v/>
      </c>
      <c r="M7" s="143">
        <f>IF($D7="","",IFERROR($J7+$L7,0))</f>
        <v/>
      </c>
      <c r="N7" s="144">
        <f>IF($D7="","",'参数设置'!$B$5)</f>
        <v/>
      </c>
      <c r="O7" s="143">
        <f>IF($D7="","",IFERROR(CEILING($M7*(1+$N7),MAX(1,VLOOKUP($D7,'材料清单与损耗标准'!$A$4:$Q$203,10,FALSE))),$M7*(1+$N7)))</f>
        <v/>
      </c>
      <c r="P7" s="132" t="n">
        <v>46239</v>
      </c>
      <c r="Q7" s="56" t="inlineStr">
        <is>
          <t>赵工</t>
        </is>
      </c>
      <c r="R7" s="56" t="inlineStr">
        <is>
          <t>注意色号一致</t>
        </is>
      </c>
    </row>
    <row r="8">
      <c r="A8" s="56" t="inlineStr">
        <is>
          <t>机电预埋</t>
        </is>
      </c>
      <c r="B8" s="56" t="inlineStr">
        <is>
          <t>线管敷设</t>
        </is>
      </c>
      <c r="C8" s="56" t="inlineStr">
        <is>
          <t>安装</t>
        </is>
      </c>
      <c r="D8" s="56" t="inlineStr">
        <is>
          <t>M007</t>
        </is>
      </c>
      <c r="E8" s="80">
        <f>IF($D8="","",IFERROR(VLOOKUP($D8,'材料清单与损耗标准'!$A$4:$Q$203,2,FALSE),""))</f>
        <v/>
      </c>
      <c r="F8" s="80">
        <f>IF($D8="","",IFERROR(VLOOKUP($D8,'材料清单与损耗标准'!$A$4:$Q$203,3,FALSE),""))</f>
        <v/>
      </c>
      <c r="G8" s="80">
        <f>IF($D8="","",IFERROR(VLOOKUP($D8,'材料清单与损耗标准'!$A$4:$Q$203,5,FALSE),""))</f>
        <v/>
      </c>
      <c r="H8" s="56" t="n">
        <v>1500</v>
      </c>
      <c r="I8" s="56" t="n">
        <v>1.1</v>
      </c>
      <c r="J8" s="143">
        <f>IF($D8="","",IFERROR($H8*$I8,0))</f>
        <v/>
      </c>
      <c r="K8" s="143">
        <f>IF($D8="","",IFERROR(VLOOKUP($D8,'材料清单与损耗标准'!$A$4:$Q$203,7,FALSE),0))</f>
        <v/>
      </c>
      <c r="L8" s="143">
        <f>IF($D8="","",IFERROR($J8*$K8,0))</f>
        <v/>
      </c>
      <c r="M8" s="143">
        <f>IF($D8="","",IFERROR($J8+$L8,0))</f>
        <v/>
      </c>
      <c r="N8" s="144">
        <f>IF($D8="","",'参数设置'!$B$5)</f>
        <v/>
      </c>
      <c r="O8" s="143">
        <f>IF($D8="","",IFERROR(CEILING($M8*(1+$N8),MAX(1,VLOOKUP($D8,'材料清单与损耗标准'!$A$4:$Q$203,10,FALSE))),$M8*(1+$N8)))</f>
        <v/>
      </c>
      <c r="P8" s="132" t="n">
        <v>46193</v>
      </c>
      <c r="Q8" s="56" t="inlineStr">
        <is>
          <t>陈工</t>
        </is>
      </c>
      <c r="R8" s="56" t="inlineStr">
        <is>
          <t>预埋节点前到货</t>
        </is>
      </c>
    </row>
  </sheetData>
  <mergeCells count="2">
    <mergeCell ref="A2:R2"/>
    <mergeCell ref="A1:R1"/>
  </mergeCells>
  <dataValidations count="1">
    <dataValidation sqref="C4:C8" showDropDown="0" showInputMessage="0" showErrorMessage="0" allowBlank="0" type="list">
      <formula1>'参数设置'!$B$17:$B$27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U7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6" customWidth="1" min="5" max="5"/>
    <col width="12" customWidth="1" min="6" max="6"/>
    <col width="8" customWidth="1" min="7" max="7"/>
    <col width="10" customWidth="1" min="8" max="8"/>
    <col width="12" customWidth="1" min="9" max="9"/>
    <col width="12" customWidth="1" min="10" max="10"/>
    <col width="12" customWidth="1" min="11" max="11"/>
    <col width="10" customWidth="1" min="12" max="12"/>
    <col width="10" customWidth="1" min="13" max="13"/>
    <col width="12" customWidth="1" min="14" max="14"/>
    <col width="12" customWidth="1" min="15" max="15"/>
    <col width="14" customWidth="1" min="16" max="16"/>
    <col width="14" customWidth="1" min="17" max="17"/>
    <col width="14" customWidth="1" min="18" max="18"/>
    <col width="26" customWidth="1" min="19" max="19"/>
    <col width="12" customWidth="1" min="20" max="20"/>
    <col width="22" customWidth="1" min="21" max="21"/>
  </cols>
  <sheetData>
    <row r="1" ht="30" customHeight="1">
      <c r="A1" s="72" t="inlineStr">
        <is>
          <t>损耗分析台账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</row>
    <row r="2" ht="36" customHeight="1">
      <c r="A2" s="49" t="inlineStr">
        <is>
          <t>说明：记录材料领用、理论消耗和实际消耗，自动计算损耗量、损耗率、超耗量和超耗金额；用于月度复盘、责任闭环和精益改善。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</row>
    <row r="3">
      <c r="A3" s="36" t="inlineStr">
        <is>
          <t>日期</t>
        </is>
      </c>
      <c r="B3" s="36" t="inlineStr">
        <is>
          <t>项目/楼栋</t>
        </is>
      </c>
      <c r="C3" s="36" t="inlineStr">
        <is>
          <t>工序</t>
        </is>
      </c>
      <c r="D3" s="36" t="inlineStr">
        <is>
          <t>材料编码</t>
        </is>
      </c>
      <c r="E3" s="36" t="inlineStr">
        <is>
          <t>材料名称</t>
        </is>
      </c>
      <c r="F3" s="36" t="inlineStr">
        <is>
          <t>类别</t>
        </is>
      </c>
      <c r="G3" s="36" t="inlineStr">
        <is>
          <t>单位</t>
        </is>
      </c>
      <c r="H3" s="36" t="inlineStr">
        <is>
          <t>领用量</t>
        </is>
      </c>
      <c r="I3" s="36" t="inlineStr">
        <is>
          <t>完成工程量</t>
        </is>
      </c>
      <c r="J3" s="36" t="inlineStr">
        <is>
          <t>理论消耗量</t>
        </is>
      </c>
      <c r="K3" s="36" t="inlineStr">
        <is>
          <t>实际消耗量</t>
        </is>
      </c>
      <c r="L3" s="36" t="inlineStr">
        <is>
          <t>损耗量</t>
        </is>
      </c>
      <c r="M3" s="36" t="inlineStr">
        <is>
          <t>损耗率</t>
        </is>
      </c>
      <c r="N3" s="36" t="inlineStr">
        <is>
          <t>标准损耗率</t>
        </is>
      </c>
      <c r="O3" s="36" t="inlineStr">
        <is>
          <t>超耗量</t>
        </is>
      </c>
      <c r="P3" s="36" t="inlineStr">
        <is>
          <t>超耗金额</t>
        </is>
      </c>
      <c r="Q3" s="36" t="inlineStr">
        <is>
          <t>原因分类</t>
        </is>
      </c>
      <c r="R3" s="36" t="inlineStr">
        <is>
          <t>责任部门/人</t>
        </is>
      </c>
      <c r="S3" s="36" t="inlineStr">
        <is>
          <t>改进措施</t>
        </is>
      </c>
      <c r="T3" s="36" t="inlineStr">
        <is>
          <t>闭环状态</t>
        </is>
      </c>
      <c r="U3" s="36" t="inlineStr">
        <is>
          <t>备注</t>
        </is>
      </c>
    </row>
    <row r="4">
      <c r="A4" s="132" t="n">
        <v>46150</v>
      </c>
      <c r="B4" s="56" t="inlineStr">
        <is>
          <t>1#楼</t>
        </is>
      </c>
      <c r="C4" s="56" t="inlineStr">
        <is>
          <t>主体结构</t>
        </is>
      </c>
      <c r="D4" s="56" t="inlineStr">
        <is>
          <t>M001</t>
        </is>
      </c>
      <c r="E4" s="80">
        <f>IF($D4="","",IFERROR(VLOOKUP($D4,'材料清单与损耗标准'!$A$4:$Q$203,2,FALSE),""))</f>
        <v/>
      </c>
      <c r="F4" s="80">
        <f>IF($D4="","",IFERROR(VLOOKUP($D4,'材料清单与损耗标准'!$A$4:$Q$203,3,FALSE),""))</f>
        <v/>
      </c>
      <c r="G4" s="80">
        <f>IF($D4="","",IFERROR(VLOOKUP($D4,'材料清单与损耗标准'!$A$4:$Q$203,5,FALSE),""))</f>
        <v/>
      </c>
      <c r="H4" s="145" t="n">
        <v>120</v>
      </c>
      <c r="I4" s="145" t="n">
        <v>1200</v>
      </c>
      <c r="J4" s="145" t="n">
        <v>114</v>
      </c>
      <c r="K4" s="145" t="n">
        <v>118</v>
      </c>
      <c r="L4" s="143">
        <f>IF($D4="","",MAX($K4-$J4,0))</f>
        <v/>
      </c>
      <c r="M4" s="144">
        <f>IF($D4="","",IFERROR($L4/$J4,0))</f>
        <v/>
      </c>
      <c r="N4" s="144">
        <f>IF($D4="","",IFERROR(VLOOKUP($D4,'材料清单与损耗标准'!$A$4:$Q$203,7,FALSE),0))</f>
        <v/>
      </c>
      <c r="O4" s="143">
        <f>IF($D4="","",MAX($L4-$J4*$N4,0))</f>
        <v/>
      </c>
      <c r="P4" s="146">
        <f>IF($D4="","",IFERROR($O4*VLOOKUP($D4,'材料清单与损耗标准'!$A$4:$Q$203,12,FALSE),0))</f>
        <v/>
      </c>
      <c r="Q4" s="56" t="inlineStr">
        <is>
          <t>下料/切割损耗</t>
        </is>
      </c>
      <c r="R4" s="56" t="inlineStr">
        <is>
          <t>钢筋班组</t>
        </is>
      </c>
      <c r="S4" s="56" t="inlineStr">
        <is>
          <t>优化下料单，集中加工</t>
        </is>
      </c>
      <c r="T4" s="56" t="inlineStr">
        <is>
          <t>进行中</t>
        </is>
      </c>
      <c r="U4" s="56" t="inlineStr">
        <is>
          <t>钢筋余料分类回收</t>
        </is>
      </c>
    </row>
    <row r="5">
      <c r="A5" s="132" t="n">
        <v>46151</v>
      </c>
      <c r="B5" s="56" t="inlineStr">
        <is>
          <t>1#楼</t>
        </is>
      </c>
      <c r="C5" s="56" t="inlineStr">
        <is>
          <t>主体结构</t>
        </is>
      </c>
      <c r="D5" s="56" t="inlineStr">
        <is>
          <t>M002</t>
        </is>
      </c>
      <c r="E5" s="80">
        <f>IF($D5="","",IFERROR(VLOOKUP($D5,'材料清单与损耗标准'!$A$4:$Q$203,2,FALSE),""))</f>
        <v/>
      </c>
      <c r="F5" s="80">
        <f>IF($D5="","",IFERROR(VLOOKUP($D5,'材料清单与损耗标准'!$A$4:$Q$203,3,FALSE),""))</f>
        <v/>
      </c>
      <c r="G5" s="80">
        <f>IF($D5="","",IFERROR(VLOOKUP($D5,'材料清单与损耗标准'!$A$4:$Q$203,5,FALSE),""))</f>
        <v/>
      </c>
      <c r="H5" s="145" t="n">
        <v>465</v>
      </c>
      <c r="I5" s="145" t="n">
        <v>450</v>
      </c>
      <c r="J5" s="145" t="n">
        <v>459</v>
      </c>
      <c r="K5" s="145" t="n">
        <v>462.5</v>
      </c>
      <c r="L5" s="143">
        <f>IF($D5="","",MAX($K5-$J5,0))</f>
        <v/>
      </c>
      <c r="M5" s="144">
        <f>IF($D5="","",IFERROR($L5/$J5,0))</f>
        <v/>
      </c>
      <c r="N5" s="144">
        <f>IF($D5="","",IFERROR(VLOOKUP($D5,'材料清单与损耗标准'!$A$4:$Q$203,7,FALSE),0))</f>
        <v/>
      </c>
      <c r="O5" s="143">
        <f>IF($D5="","",MAX($L5-$J5*$N5,0))</f>
        <v/>
      </c>
      <c r="P5" s="146">
        <f>IF($D5="","",IFERROR($O5*VLOOKUP($D5,'材料清单与损耗标准'!$A$4:$Q$203,12,FALSE),0))</f>
        <v/>
      </c>
      <c r="Q5" s="56" t="inlineStr">
        <is>
          <t>计量偏差</t>
        </is>
      </c>
      <c r="R5" s="56" t="inlineStr">
        <is>
          <t>施工/材料</t>
        </is>
      </c>
      <c r="S5" s="56" t="inlineStr">
        <is>
          <t>核对罐车小票与现场方量</t>
        </is>
      </c>
      <c r="T5" s="56" t="inlineStr">
        <is>
          <t>已完成</t>
        </is>
      </c>
      <c r="U5" s="56" t="str"/>
    </row>
    <row r="6">
      <c r="A6" s="132" t="n">
        <v>46153</v>
      </c>
      <c r="B6" s="56" t="inlineStr">
        <is>
          <t>2#楼</t>
        </is>
      </c>
      <c r="C6" s="56" t="inlineStr">
        <is>
          <t>防水</t>
        </is>
      </c>
      <c r="D6" s="56" t="inlineStr">
        <is>
          <t>M005</t>
        </is>
      </c>
      <c r="E6" s="80">
        <f>IF($D6="","",IFERROR(VLOOKUP($D6,'材料清单与损耗标准'!$A$4:$Q$203,2,FALSE),""))</f>
        <v/>
      </c>
      <c r="F6" s="80">
        <f>IF($D6="","",IFERROR(VLOOKUP($D6,'材料清单与损耗标准'!$A$4:$Q$203,3,FALSE),""))</f>
        <v/>
      </c>
      <c r="G6" s="80">
        <f>IF($D6="","",IFERROR(VLOOKUP($D6,'材料清单与损耗标准'!$A$4:$Q$203,5,FALSE),""))</f>
        <v/>
      </c>
      <c r="H6" s="145" t="n">
        <v>3350</v>
      </c>
      <c r="I6" s="145" t="n">
        <v>3000</v>
      </c>
      <c r="J6" s="145" t="n">
        <v>3240</v>
      </c>
      <c r="K6" s="145" t="n">
        <v>3380</v>
      </c>
      <c r="L6" s="143">
        <f>IF($D6="","",MAX($K6-$J6,0))</f>
        <v/>
      </c>
      <c r="M6" s="144">
        <f>IF($D6="","",IFERROR($L6/$J6,0))</f>
        <v/>
      </c>
      <c r="N6" s="144">
        <f>IF($D6="","",IFERROR(VLOOKUP($D6,'材料清单与损耗标准'!$A$4:$Q$203,7,FALSE),0))</f>
        <v/>
      </c>
      <c r="O6" s="143">
        <f>IF($D6="","",MAX($L6-$J6*$N6,0))</f>
        <v/>
      </c>
      <c r="P6" s="146">
        <f>IF($D6="","",IFERROR($O6*VLOOKUP($D6,'材料清单与损耗标准'!$A$4:$Q$203,12,FALSE),0))</f>
        <v/>
      </c>
      <c r="Q6" s="56" t="inlineStr">
        <is>
          <t>施工返工</t>
        </is>
      </c>
      <c r="R6" s="56" t="inlineStr">
        <is>
          <t>防水班组</t>
        </is>
      </c>
      <c r="S6" s="56" t="inlineStr">
        <is>
          <t>加强基层验收和搭接复核</t>
        </is>
      </c>
      <c r="T6" s="56" t="inlineStr">
        <is>
          <t>未开始</t>
        </is>
      </c>
      <c r="U6" s="56" t="inlineStr">
        <is>
          <t>返工导致损耗偏高</t>
        </is>
      </c>
    </row>
    <row r="7">
      <c r="A7" s="132" t="n">
        <v>46154</v>
      </c>
      <c r="B7" s="56" t="inlineStr">
        <is>
          <t>精装样板间</t>
        </is>
      </c>
      <c r="C7" s="56" t="inlineStr">
        <is>
          <t>装饰</t>
        </is>
      </c>
      <c r="D7" s="56" t="inlineStr">
        <is>
          <t>M006</t>
        </is>
      </c>
      <c r="E7" s="80">
        <f>IF($D7="","",IFERROR(VLOOKUP($D7,'材料清单与损耗标准'!$A$4:$Q$203,2,FALSE),""))</f>
        <v/>
      </c>
      <c r="F7" s="80">
        <f>IF($D7="","",IFERROR(VLOOKUP($D7,'材料清单与损耗标准'!$A$4:$Q$203,3,FALSE),""))</f>
        <v/>
      </c>
      <c r="G7" s="80">
        <f>IF($D7="","",IFERROR(VLOOKUP($D7,'材料清单与损耗标准'!$A$4:$Q$203,5,FALSE),""))</f>
        <v/>
      </c>
      <c r="H7" s="145" t="n">
        <v>860</v>
      </c>
      <c r="I7" s="145" t="n">
        <v>800</v>
      </c>
      <c r="J7" s="145" t="n">
        <v>840</v>
      </c>
      <c r="K7" s="145" t="n">
        <v>865</v>
      </c>
      <c r="L7" s="143">
        <f>IF($D7="","",MAX($K7-$J7,0))</f>
        <v/>
      </c>
      <c r="M7" s="144">
        <f>IF($D7="","",IFERROR($L7/$J7,0))</f>
        <v/>
      </c>
      <c r="N7" s="144">
        <f>IF($D7="","",IFERROR(VLOOKUP($D7,'材料清单与损耗标准'!$A$4:$Q$203,7,FALSE),0))</f>
        <v/>
      </c>
      <c r="O7" s="143">
        <f>IF($D7="","",MAX($L7-$J7*$N7,0))</f>
        <v/>
      </c>
      <c r="P7" s="146">
        <f>IF($D7="","",IFERROR($O7*VLOOKUP($D7,'材料清单与损耗标准'!$A$4:$Q$203,12,FALSE),0))</f>
        <v/>
      </c>
      <c r="Q7" s="56" t="inlineStr">
        <is>
          <t>运输破损</t>
        </is>
      </c>
      <c r="R7" s="56" t="inlineStr">
        <is>
          <t>采购/仓库</t>
        </is>
      </c>
      <c r="S7" s="56" t="inlineStr">
        <is>
          <t>入库验收增加破损拍照记录</t>
        </is>
      </c>
      <c r="T7" s="56" t="inlineStr">
        <is>
          <t>进行中</t>
        </is>
      </c>
      <c r="U7" s="56" t="str"/>
    </row>
  </sheetData>
  <mergeCells count="2">
    <mergeCell ref="A1:U1"/>
    <mergeCell ref="A2:U2"/>
  </mergeCells>
  <conditionalFormatting sqref="M4:M7">
    <cfRule type="expression" priority="1" dxfId="0">
      <formula>AND($D4&lt;&gt;"",$M4&gt;$N4+'参数设置'!$B$7)</formula>
    </cfRule>
  </conditionalFormatting>
  <conditionalFormatting sqref="O4:O7">
    <cfRule type="dataBar" priority="2">
      <dataBar>
        <cfvo type="min"/>
        <cfvo type="max"/>
        <color rgb="00C00000"/>
      </dataBar>
    </cfRule>
  </conditionalFormatting>
  <dataValidations count="3">
    <dataValidation sqref="C4:C7" showDropDown="0" showInputMessage="0" showErrorMessage="0" allowBlank="0" type="list">
      <formula1>'参数设置'!$B$17:$B$27</formula1>
    </dataValidation>
    <dataValidation sqref="Q4:Q7" showDropDown="0" showInputMessage="0" showErrorMessage="0" allowBlank="0" type="list">
      <formula1>'参数设置'!$H$17:$H$25</formula1>
    </dataValidation>
    <dataValidation sqref="T4:T7" showDropDown="0" showInputMessage="0" showErrorMessage="0" allowBlank="0" type="list">
      <formula1>'参数设置'!$G$17:$G$21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W8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0" customWidth="1" min="3" max="3"/>
    <col width="12" customWidth="1" min="4" max="4"/>
    <col width="16" customWidth="1" min="5" max="5"/>
    <col width="12" customWidth="1" min="6" max="6"/>
    <col width="8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4" customWidth="1" min="16" max="16"/>
    <col width="12" customWidth="1" min="17" max="17"/>
    <col width="12" customWidth="1" min="18" max="18"/>
    <col width="12" customWidth="1" min="19" max="19"/>
    <col width="18" customWidth="1" min="20" max="20"/>
    <col width="12" customWidth="1" min="21" max="21"/>
    <col width="24" customWidth="1" min="22" max="22"/>
    <col width="22" customWidth="1" min="23" max="23"/>
  </cols>
  <sheetData>
    <row r="1" ht="30" customHeight="1">
      <c r="A1" s="72" t="inlineStr">
        <is>
          <t>精益采购计划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</row>
    <row r="2" ht="36" customHeight="1">
      <c r="A2" s="49" t="inlineStr">
        <is>
          <t>说明：录入采购批次、采购方式、优先级、材料编码、计划需求量、库存/在途/已下单未到、需求日期，自动计算净采购需求、建议采购量、采购金额和建议下单日期。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</row>
    <row r="3">
      <c r="A3" s="36" t="inlineStr">
        <is>
          <t>采购批次</t>
        </is>
      </c>
      <c r="B3" s="36" t="inlineStr">
        <is>
          <t>采购方式</t>
        </is>
      </c>
      <c r="C3" s="36" t="inlineStr">
        <is>
          <t>优先级</t>
        </is>
      </c>
      <c r="D3" s="36" t="inlineStr">
        <is>
          <t>材料编码</t>
        </is>
      </c>
      <c r="E3" s="36" t="inlineStr">
        <is>
          <t>材料名称</t>
        </is>
      </c>
      <c r="F3" s="36" t="inlineStr">
        <is>
          <t>类别</t>
        </is>
      </c>
      <c r="G3" s="36" t="inlineStr">
        <is>
          <t>单位</t>
        </is>
      </c>
      <c r="H3" s="36" t="inlineStr">
        <is>
          <t>计划需求量</t>
        </is>
      </c>
      <c r="I3" s="36" t="inlineStr">
        <is>
          <t>当前库存</t>
        </is>
      </c>
      <c r="J3" s="36" t="inlineStr">
        <is>
          <t>在途数量</t>
        </is>
      </c>
      <c r="K3" s="36" t="inlineStr">
        <is>
          <t>已下单未到</t>
        </is>
      </c>
      <c r="L3" s="36" t="inlineStr">
        <is>
          <t>安全库存量</t>
        </is>
      </c>
      <c r="M3" s="36" t="inlineStr">
        <is>
          <t>净采购需求</t>
        </is>
      </c>
      <c r="N3" s="36" t="inlineStr">
        <is>
          <t>建议采购量</t>
        </is>
      </c>
      <c r="O3" s="36" t="inlineStr">
        <is>
          <t>目标单价</t>
        </is>
      </c>
      <c r="P3" s="36" t="inlineStr">
        <is>
          <t>预计采购金额</t>
        </is>
      </c>
      <c r="Q3" s="36" t="inlineStr">
        <is>
          <t>需求日期</t>
        </is>
      </c>
      <c r="R3" s="36" t="inlineStr">
        <is>
          <t>采购提前期(天)</t>
        </is>
      </c>
      <c r="S3" s="36" t="inlineStr">
        <is>
          <t>建议下单日期</t>
        </is>
      </c>
      <c r="T3" s="36" t="inlineStr">
        <is>
          <t>供应商</t>
        </is>
      </c>
      <c r="U3" s="36" t="inlineStr">
        <is>
          <t>采购状态</t>
        </is>
      </c>
      <c r="V3" s="36" t="inlineStr">
        <is>
          <t>验收/质量要求</t>
        </is>
      </c>
      <c r="W3" s="36" t="inlineStr">
        <is>
          <t>备注</t>
        </is>
      </c>
    </row>
    <row r="4">
      <c r="A4" s="56" t="inlineStr">
        <is>
          <t>PC-2026-001</t>
        </is>
      </c>
      <c r="B4" s="56" t="inlineStr">
        <is>
          <t>集中采购</t>
        </is>
      </c>
      <c r="C4" s="56" t="inlineStr">
        <is>
          <t>高</t>
        </is>
      </c>
      <c r="D4" s="56" t="inlineStr">
        <is>
          <t>M001</t>
        </is>
      </c>
      <c r="E4" s="80">
        <f>IF($D4="","",IFERROR(VLOOKUP($D4,'材料清单与损耗标准'!$A$4:$Q$203,2,FALSE),""))</f>
        <v/>
      </c>
      <c r="F4" s="80">
        <f>IF($D4="","",IFERROR(VLOOKUP($D4,'材料清单与损耗标准'!$A$4:$Q$203,3,FALSE),""))</f>
        <v/>
      </c>
      <c r="G4" s="80">
        <f>IF($D4="","",IFERROR(VLOOKUP($D4,'材料清单与损耗标准'!$A$4:$Q$203,5,FALSE),""))</f>
        <v/>
      </c>
      <c r="H4" s="145" t="n">
        <v>120</v>
      </c>
      <c r="I4" s="145" t="n">
        <v>25</v>
      </c>
      <c r="J4" s="145" t="n">
        <v>10</v>
      </c>
      <c r="K4" s="145" t="n">
        <v>0</v>
      </c>
      <c r="L4" s="143">
        <f>IF($D4="","",IFERROR($H4*'参数设置'!$B$5,0))</f>
        <v/>
      </c>
      <c r="M4" s="143">
        <f>IF($D4="","",MAX($H4+$L4-$I4-$J4-$K4,0))</f>
        <v/>
      </c>
      <c r="N4" s="143">
        <f>IF($D4="","",IFERROR(CEILING($M4,MAX(1,VLOOKUP($D4,'材料清单与损耗标准'!$A$4:$Q$203,10,FALSE))),$M4))</f>
        <v/>
      </c>
      <c r="O4" s="146">
        <f>IF($D4="","",IFERROR(VLOOKUP($D4,'材料清单与损耗标准'!$A$4:$Q$203,12,FALSE),0))</f>
        <v/>
      </c>
      <c r="P4" s="146">
        <f>IF($D4="","",IFERROR($N4*$O4,0))</f>
        <v/>
      </c>
      <c r="Q4" s="132" t="n">
        <v>46183</v>
      </c>
      <c r="R4" s="80">
        <f>IF($D4="","",IFERROR(VLOOKUP($D4,'材料清单与损耗标准'!$A$4:$Q$203,9,FALSE),'参数设置'!$B$9))</f>
        <v/>
      </c>
      <c r="S4" s="147">
        <f>IF(OR($D4="",$Q4=""),"",$Q4-$R4)</f>
        <v/>
      </c>
      <c r="T4" s="80">
        <f>IF($D4="","",IFERROR(VLOOKUP($D4,'材料清单与损耗标准'!$A$4:$Q$203,14,FALSE),""))</f>
        <v/>
      </c>
      <c r="U4" s="56" t="inlineStr">
        <is>
          <t>待询价</t>
        </is>
      </c>
      <c r="V4" s="56" t="inlineStr">
        <is>
          <t>材质证明、复检合格</t>
        </is>
      </c>
      <c r="W4" s="56" t="inlineStr">
        <is>
          <t>按结构进度分批</t>
        </is>
      </c>
    </row>
    <row r="5">
      <c r="A5" s="56" t="inlineStr">
        <is>
          <t>PC-2026-002</t>
        </is>
      </c>
      <c r="B5" s="56" t="inlineStr">
        <is>
          <t>项目采购</t>
        </is>
      </c>
      <c r="C5" s="56" t="inlineStr">
        <is>
          <t>高</t>
        </is>
      </c>
      <c r="D5" s="56" t="inlineStr">
        <is>
          <t>M002</t>
        </is>
      </c>
      <c r="E5" s="80">
        <f>IF($D5="","",IFERROR(VLOOKUP($D5,'材料清单与损耗标准'!$A$4:$Q$203,2,FALSE),""))</f>
        <v/>
      </c>
      <c r="F5" s="80">
        <f>IF($D5="","",IFERROR(VLOOKUP($D5,'材料清单与损耗标准'!$A$4:$Q$203,3,FALSE),""))</f>
        <v/>
      </c>
      <c r="G5" s="80">
        <f>IF($D5="","",IFERROR(VLOOKUP($D5,'材料清单与损耗标准'!$A$4:$Q$203,5,FALSE),""))</f>
        <v/>
      </c>
      <c r="H5" s="145" t="n">
        <v>462</v>
      </c>
      <c r="I5" s="145" t="n">
        <v>0</v>
      </c>
      <c r="J5" s="145" t="n">
        <v>0</v>
      </c>
      <c r="K5" s="145" t="n">
        <v>0</v>
      </c>
      <c r="L5" s="143">
        <f>IF($D5="","",IFERROR($H5*'参数设置'!$B$5,0))</f>
        <v/>
      </c>
      <c r="M5" s="143">
        <f>IF($D5="","",MAX($H5+$L5-$I5-$J5-$K5,0))</f>
        <v/>
      </c>
      <c r="N5" s="143">
        <f>IF($D5="","",IFERROR(CEILING($M5,MAX(1,VLOOKUP($D5,'材料清单与损耗标准'!$A$4:$Q$203,10,FALSE))),$M5))</f>
        <v/>
      </c>
      <c r="O5" s="146">
        <f>IF($D5="","",IFERROR(VLOOKUP($D5,'材料清单与损耗标准'!$A$4:$Q$203,12,FALSE),0))</f>
        <v/>
      </c>
      <c r="P5" s="146">
        <f>IF($D5="","",IFERROR($N5*$O5,0))</f>
        <v/>
      </c>
      <c r="Q5" s="132" t="n">
        <v>46181</v>
      </c>
      <c r="R5" s="80">
        <f>IF($D5="","",IFERROR(VLOOKUP($D5,'材料清单与损耗标准'!$A$4:$Q$203,9,FALSE),'参数设置'!$B$9))</f>
        <v/>
      </c>
      <c r="S5" s="147">
        <f>IF(OR($D5="",$Q5=""),"",$Q5-$R5)</f>
        <v/>
      </c>
      <c r="T5" s="80">
        <f>IF($D5="","",IFERROR(VLOOKUP($D5,'材料清单与损耗标准'!$A$4:$Q$203,14,FALSE),""))</f>
        <v/>
      </c>
      <c r="U5" s="56" t="inlineStr">
        <is>
          <t>待下单</t>
        </is>
      </c>
      <c r="V5" s="56" t="inlineStr">
        <is>
          <t>坍落度、强度等级合格</t>
        </is>
      </c>
      <c r="W5" s="56" t="inlineStr">
        <is>
          <t>浇筑当天到场</t>
        </is>
      </c>
    </row>
    <row r="6">
      <c r="A6" s="56" t="inlineStr">
        <is>
          <t>PC-2026-003</t>
        </is>
      </c>
      <c r="B6" s="56" t="inlineStr">
        <is>
          <t>框架协议</t>
        </is>
      </c>
      <c r="C6" s="56" t="inlineStr">
        <is>
          <t>中</t>
        </is>
      </c>
      <c r="D6" s="56" t="inlineStr">
        <is>
          <t>M005</t>
        </is>
      </c>
      <c r="E6" s="80">
        <f>IF($D6="","",IFERROR(VLOOKUP($D6,'材料清单与损耗标准'!$A$4:$Q$203,2,FALSE),""))</f>
        <v/>
      </c>
      <c r="F6" s="80">
        <f>IF($D6="","",IFERROR(VLOOKUP($D6,'材料清单与损耗标准'!$A$4:$Q$203,3,FALSE),""))</f>
        <v/>
      </c>
      <c r="G6" s="80">
        <f>IF($D6="","",IFERROR(VLOOKUP($D6,'材料清单与损耗标准'!$A$4:$Q$203,5,FALSE),""))</f>
        <v/>
      </c>
      <c r="H6" s="145" t="n">
        <v>3400</v>
      </c>
      <c r="I6" s="145" t="n">
        <v>300</v>
      </c>
      <c r="J6" s="145" t="n">
        <v>0</v>
      </c>
      <c r="K6" s="145" t="n">
        <v>0</v>
      </c>
      <c r="L6" s="143">
        <f>IF($D6="","",IFERROR($H6*'参数设置'!$B$5,0))</f>
        <v/>
      </c>
      <c r="M6" s="143">
        <f>IF($D6="","",MAX($H6+$L6-$I6-$J6-$K6,0))</f>
        <v/>
      </c>
      <c r="N6" s="143">
        <f>IF($D6="","",IFERROR(CEILING($M6,MAX(1,VLOOKUP($D6,'材料清单与损耗标准'!$A$4:$Q$203,10,FALSE))),$M6))</f>
        <v/>
      </c>
      <c r="O6" s="146">
        <f>IF($D6="","",IFERROR(VLOOKUP($D6,'材料清单与损耗标准'!$A$4:$Q$203,12,FALSE),0))</f>
        <v/>
      </c>
      <c r="P6" s="146">
        <f>IF($D6="","",IFERROR($N6*$O6,0))</f>
        <v/>
      </c>
      <c r="Q6" s="132" t="n">
        <v>46218</v>
      </c>
      <c r="R6" s="80">
        <f>IF($D6="","",IFERROR(VLOOKUP($D6,'材料清单与损耗标准'!$A$4:$Q$203,9,FALSE),'参数设置'!$B$9))</f>
        <v/>
      </c>
      <c r="S6" s="147">
        <f>IF(OR($D6="",$Q6=""),"",$Q6-$R6)</f>
        <v/>
      </c>
      <c r="T6" s="80">
        <f>IF($D6="","",IFERROR(VLOOKUP($D6,'材料清单与损耗标准'!$A$4:$Q$203,14,FALSE),""))</f>
        <v/>
      </c>
      <c r="U6" s="56" t="inlineStr">
        <is>
          <t>待审批</t>
        </is>
      </c>
      <c r="V6" s="56" t="inlineStr">
        <is>
          <t>卷材厚度与复检合格</t>
        </is>
      </c>
      <c r="W6" s="56" t="inlineStr">
        <is>
          <t>屋面防水</t>
        </is>
      </c>
    </row>
    <row r="7">
      <c r="A7" s="56" t="inlineStr">
        <is>
          <t>PC-2026-004</t>
        </is>
      </c>
      <c r="B7" s="56" t="inlineStr">
        <is>
          <t>比价采购</t>
        </is>
      </c>
      <c r="C7" s="56" t="inlineStr">
        <is>
          <t>中</t>
        </is>
      </c>
      <c r="D7" s="56" t="inlineStr">
        <is>
          <t>M006</t>
        </is>
      </c>
      <c r="E7" s="80">
        <f>IF($D7="","",IFERROR(VLOOKUP($D7,'材料清单与损耗标准'!$A$4:$Q$203,2,FALSE),""))</f>
        <v/>
      </c>
      <c r="F7" s="80">
        <f>IF($D7="","",IFERROR(VLOOKUP($D7,'材料清单与损耗标准'!$A$4:$Q$203,3,FALSE),""))</f>
        <v/>
      </c>
      <c r="G7" s="80">
        <f>IF($D7="","",IFERROR(VLOOKUP($D7,'材料清单与损耗标准'!$A$4:$Q$203,5,FALSE),""))</f>
        <v/>
      </c>
      <c r="H7" s="145" t="n">
        <v>865</v>
      </c>
      <c r="I7" s="145" t="n">
        <v>120</v>
      </c>
      <c r="J7" s="145" t="n">
        <v>0</v>
      </c>
      <c r="K7" s="145" t="n">
        <v>0</v>
      </c>
      <c r="L7" s="143">
        <f>IF($D7="","",IFERROR($H7*'参数设置'!$B$5,0))</f>
        <v/>
      </c>
      <c r="M7" s="143">
        <f>IF($D7="","",MAX($H7+$L7-$I7-$J7-$K7,0))</f>
        <v/>
      </c>
      <c r="N7" s="143">
        <f>IF($D7="","",IFERROR(CEILING($M7,MAX(1,VLOOKUP($D7,'材料清单与损耗标准'!$A$4:$Q$203,10,FALSE))),$M7))</f>
        <v/>
      </c>
      <c r="O7" s="146">
        <f>IF($D7="","",IFERROR(VLOOKUP($D7,'材料清单与损耗标准'!$A$4:$Q$203,12,FALSE),0))</f>
        <v/>
      </c>
      <c r="P7" s="146">
        <f>IF($D7="","",IFERROR($N7*$O7,0))</f>
        <v/>
      </c>
      <c r="Q7" s="132" t="n">
        <v>46239</v>
      </c>
      <c r="R7" s="80">
        <f>IF($D7="","",IFERROR(VLOOKUP($D7,'材料清单与损耗标准'!$A$4:$Q$203,9,FALSE),'参数设置'!$B$9))</f>
        <v/>
      </c>
      <c r="S7" s="147">
        <f>IF(OR($D7="",$Q7=""),"",$Q7-$R7)</f>
        <v/>
      </c>
      <c r="T7" s="80">
        <f>IF($D7="","",IFERROR(VLOOKUP($D7,'材料清单与损耗标准'!$A$4:$Q$203,14,FALSE),""))</f>
        <v/>
      </c>
      <c r="U7" s="56" t="inlineStr">
        <is>
          <t>需求收集</t>
        </is>
      </c>
      <c r="V7" s="56" t="inlineStr">
        <is>
          <t>色号一致、破损率控制</t>
        </is>
      </c>
      <c r="W7" s="56" t="inlineStr">
        <is>
          <t>精装样板间</t>
        </is>
      </c>
    </row>
    <row r="8">
      <c r="A8" s="56" t="inlineStr">
        <is>
          <t>PC-2026-005</t>
        </is>
      </c>
      <c r="B8" s="56" t="inlineStr">
        <is>
          <t>项目采购</t>
        </is>
      </c>
      <c r="C8" s="56" t="inlineStr">
        <is>
          <t>低</t>
        </is>
      </c>
      <c r="D8" s="56" t="inlineStr">
        <is>
          <t>M007</t>
        </is>
      </c>
      <c r="E8" s="80">
        <f>IF($D8="","",IFERROR(VLOOKUP($D8,'材料清单与损耗标准'!$A$4:$Q$203,2,FALSE),""))</f>
        <v/>
      </c>
      <c r="F8" s="80">
        <f>IF($D8="","",IFERROR(VLOOKUP($D8,'材料清单与损耗标准'!$A$4:$Q$203,3,FALSE),""))</f>
        <v/>
      </c>
      <c r="G8" s="80">
        <f>IF($D8="","",IFERROR(VLOOKUP($D8,'材料清单与损耗标准'!$A$4:$Q$203,5,FALSE),""))</f>
        <v/>
      </c>
      <c r="H8" s="145" t="n">
        <v>1700</v>
      </c>
      <c r="I8" s="145" t="n">
        <v>500</v>
      </c>
      <c r="J8" s="145" t="n">
        <v>100</v>
      </c>
      <c r="K8" s="145" t="n">
        <v>0</v>
      </c>
      <c r="L8" s="143">
        <f>IF($D8="","",IFERROR($H8*'参数设置'!$B$5,0))</f>
        <v/>
      </c>
      <c r="M8" s="143">
        <f>IF($D8="","",MAX($H8+$L8-$I8-$J8-$K8,0))</f>
        <v/>
      </c>
      <c r="N8" s="143">
        <f>IF($D8="","",IFERROR(CEILING($M8,MAX(1,VLOOKUP($D8,'材料清单与损耗标准'!$A$4:$Q$203,10,FALSE))),$M8))</f>
        <v/>
      </c>
      <c r="O8" s="146">
        <f>IF($D8="","",IFERROR(VLOOKUP($D8,'材料清单与损耗标准'!$A$4:$Q$203,12,FALSE),0))</f>
        <v/>
      </c>
      <c r="P8" s="146">
        <f>IF($D8="","",IFERROR($N8*$O8,0))</f>
        <v/>
      </c>
      <c r="Q8" s="132" t="n">
        <v>46193</v>
      </c>
      <c r="R8" s="80">
        <f>IF($D8="","",IFERROR(VLOOKUP($D8,'材料清单与损耗标准'!$A$4:$Q$203,9,FALSE),'参数设置'!$B$9))</f>
        <v/>
      </c>
      <c r="S8" s="147">
        <f>IF(OR($D8="",$Q8=""),"",$Q8-$R8)</f>
        <v/>
      </c>
      <c r="T8" s="80">
        <f>IF($D8="","",IFERROR(VLOOKUP($D8,'材料清单与损耗标准'!$A$4:$Q$203,14,FALSE),""))</f>
        <v/>
      </c>
      <c r="U8" s="56" t="inlineStr">
        <is>
          <t>已下单</t>
        </is>
      </c>
      <c r="V8" s="56" t="inlineStr">
        <is>
          <t>规格型号符合图纸</t>
        </is>
      </c>
      <c r="W8" s="56" t="inlineStr">
        <is>
          <t>机电预埋</t>
        </is>
      </c>
    </row>
  </sheetData>
  <mergeCells count="2">
    <mergeCell ref="A2:W2"/>
    <mergeCell ref="A1:W1"/>
  </mergeCells>
  <conditionalFormatting sqref="S4:S8">
    <cfRule type="expression" priority="1" dxfId="0">
      <formula>AND($D4&lt;&gt;"",$S4&lt;TODAY(),OR($U4="待审批",$U4="待询价",$U4="待下单",$U4="需求收集"))</formula>
    </cfRule>
  </conditionalFormatting>
  <conditionalFormatting sqref="P4:P8">
    <cfRule type="dataBar" priority="2">
      <dataBar>
        <cfvo type="min"/>
        <cfvo type="max"/>
        <color rgb="004472C4"/>
      </dataBar>
    </cfRule>
  </conditionalFormatting>
  <dataValidations count="3">
    <dataValidation sqref="B4:B8" showDropDown="0" showInputMessage="0" showErrorMessage="0" allowBlank="0" type="list">
      <formula1>'参数设置'!$C$17:$C$23</formula1>
    </dataValidation>
    <dataValidation sqref="C4:C8" showDropDown="0" showInputMessage="0" showErrorMessage="0" allowBlank="0" type="list">
      <formula1>'参数设置'!$D$17:$D$19</formula1>
    </dataValidation>
    <dataValidation sqref="U4:U8" showDropDown="0" showInputMessage="0" showErrorMessage="0" allowBlank="0" type="list">
      <formula1>'参数设置'!$E$17:$E$25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P8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6" customWidth="1" min="3" max="3"/>
    <col width="12" customWidth="1" min="4" max="4"/>
    <col width="8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0" customWidth="1" min="15" max="15"/>
    <col width="24" customWidth="1" min="16" max="16"/>
  </cols>
  <sheetData>
    <row r="1" ht="30" customHeight="1">
      <c r="A1" s="72" t="inlineStr">
        <is>
          <t>库存与到货跟踪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 ht="36" customHeight="1">
      <c r="A2" s="49" t="inlineStr">
        <is>
          <t>说明：按仓库/地点维护库存、待收货、待检和已预留数量，自动计算可用库存并提示低库存/高库存。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</row>
    <row r="3">
      <c r="A3" s="36" t="inlineStr">
        <is>
          <t>仓库/地点</t>
        </is>
      </c>
      <c r="B3" s="36" t="inlineStr">
        <is>
          <t>材料编码</t>
        </is>
      </c>
      <c r="C3" s="36" t="inlineStr">
        <is>
          <t>材料名称</t>
        </is>
      </c>
      <c r="D3" s="36" t="inlineStr">
        <is>
          <t>类别</t>
        </is>
      </c>
      <c r="E3" s="36" t="inlineStr">
        <is>
          <t>单位</t>
        </is>
      </c>
      <c r="F3" s="36" t="inlineStr">
        <is>
          <t>当前库存</t>
        </is>
      </c>
      <c r="G3" s="36" t="inlineStr">
        <is>
          <t>安全库存</t>
        </is>
      </c>
      <c r="H3" s="36" t="inlineStr">
        <is>
          <t>待收货数量</t>
        </is>
      </c>
      <c r="I3" s="36" t="inlineStr">
        <is>
          <t>待检数量</t>
        </is>
      </c>
      <c r="J3" s="36" t="inlineStr">
        <is>
          <t>已预留数量</t>
        </is>
      </c>
      <c r="K3" s="36" t="inlineStr">
        <is>
          <t>可用库存</t>
        </is>
      </c>
      <c r="L3" s="36" t="inlineStr">
        <is>
          <t>库存状态</t>
        </is>
      </c>
      <c r="M3" s="36" t="inlineStr">
        <is>
          <t>最近入库日期</t>
        </is>
      </c>
      <c r="N3" s="36" t="inlineStr">
        <is>
          <t>最近出库日期</t>
        </is>
      </c>
      <c r="O3" s="36" t="inlineStr">
        <is>
          <t>盘点差异</t>
        </is>
      </c>
      <c r="P3" s="36" t="inlineStr">
        <is>
          <t>备注</t>
        </is>
      </c>
    </row>
    <row r="4">
      <c r="A4" s="56" t="inlineStr">
        <is>
          <t>主仓库</t>
        </is>
      </c>
      <c r="B4" s="56" t="inlineStr">
        <is>
          <t>M001</t>
        </is>
      </c>
      <c r="C4" s="80">
        <f>IF($B4="","",IFERROR(VLOOKUP($B4,'材料清单与损耗标准'!$A$4:$Q$203,2,FALSE),""))</f>
        <v/>
      </c>
      <c r="D4" s="80">
        <f>IF($B4="","",IFERROR(VLOOKUP($B4,'材料清单与损耗标准'!$A$4:$Q$203,3,FALSE),""))</f>
        <v/>
      </c>
      <c r="E4" s="80">
        <f>IF($B4="","",IFERROR(VLOOKUP($B4,'材料清单与损耗标准'!$A$4:$Q$203,5,FALSE),""))</f>
        <v/>
      </c>
      <c r="F4" s="145" t="n">
        <v>25</v>
      </c>
      <c r="G4" s="145" t="n">
        <v>15</v>
      </c>
      <c r="H4" s="145" t="n">
        <v>10</v>
      </c>
      <c r="I4" s="145" t="n">
        <v>2</v>
      </c>
      <c r="J4" s="145" t="n">
        <v>5</v>
      </c>
      <c r="K4" s="143">
        <f>IF($B4="","",MAX($F4+$H4-$I4-$J4,0))</f>
        <v/>
      </c>
      <c r="L4" s="80">
        <f>IF($B4="","",IF($K4&lt;$G4,"低库存",IF($K4&gt;$G4*3,"高库存","正常")))</f>
        <v/>
      </c>
      <c r="M4" s="132" t="n">
        <v>46145</v>
      </c>
      <c r="N4" s="132" t="n">
        <v>46150</v>
      </c>
      <c r="O4" s="56" t="n">
        <v>0</v>
      </c>
      <c r="P4" s="56" t="inlineStr">
        <is>
          <t>钢筋库存需按规格分开管理</t>
        </is>
      </c>
    </row>
    <row r="5">
      <c r="A5" s="56" t="inlineStr">
        <is>
          <t>现场料场</t>
        </is>
      </c>
      <c r="B5" s="56" t="inlineStr">
        <is>
          <t>M002</t>
        </is>
      </c>
      <c r="C5" s="80">
        <f>IF($B5="","",IFERROR(VLOOKUP($B5,'材料清单与损耗标准'!$A$4:$Q$203,2,FALSE),""))</f>
        <v/>
      </c>
      <c r="D5" s="80">
        <f>IF($B5="","",IFERROR(VLOOKUP($B5,'材料清单与损耗标准'!$A$4:$Q$203,3,FALSE),""))</f>
        <v/>
      </c>
      <c r="E5" s="80">
        <f>IF($B5="","",IFERROR(VLOOKUP($B5,'材料清单与损耗标准'!$A$4:$Q$203,5,FALSE),""))</f>
        <v/>
      </c>
      <c r="F5" s="145" t="n">
        <v>0</v>
      </c>
      <c r="G5" s="145" t="n">
        <v>0</v>
      </c>
      <c r="H5" s="145" t="n">
        <v>0</v>
      </c>
      <c r="I5" s="145" t="n">
        <v>0</v>
      </c>
      <c r="J5" s="145" t="n">
        <v>0</v>
      </c>
      <c r="K5" s="143">
        <f>IF($B5="","",MAX($F5+$H5-$I5-$J5,0))</f>
        <v/>
      </c>
      <c r="L5" s="80">
        <f>IF($B5="","",IF($K5&lt;$G5,"低库存",IF($K5&gt;$G5*3,"高库存","正常")))</f>
        <v/>
      </c>
      <c r="M5" s="132" t="n">
        <v>46151</v>
      </c>
      <c r="N5" s="132" t="n">
        <v>46151</v>
      </c>
      <c r="O5" s="56" t="n">
        <v>0</v>
      </c>
      <c r="P5" s="56" t="inlineStr">
        <is>
          <t>混凝土不留库存</t>
        </is>
      </c>
    </row>
    <row r="6">
      <c r="A6" s="56" t="inlineStr">
        <is>
          <t>防水库</t>
        </is>
      </c>
      <c r="B6" s="56" t="inlineStr">
        <is>
          <t>M005</t>
        </is>
      </c>
      <c r="C6" s="80">
        <f>IF($B6="","",IFERROR(VLOOKUP($B6,'材料清单与损耗标准'!$A$4:$Q$203,2,FALSE),""))</f>
        <v/>
      </c>
      <c r="D6" s="80">
        <f>IF($B6="","",IFERROR(VLOOKUP($B6,'材料清单与损耗标准'!$A$4:$Q$203,3,FALSE),""))</f>
        <v/>
      </c>
      <c r="E6" s="80">
        <f>IF($B6="","",IFERROR(VLOOKUP($B6,'材料清单与损耗标准'!$A$4:$Q$203,5,FALSE),""))</f>
        <v/>
      </c>
      <c r="F6" s="145" t="n">
        <v>300</v>
      </c>
      <c r="G6" s="145" t="n">
        <v>200</v>
      </c>
      <c r="H6" s="145" t="n">
        <v>0</v>
      </c>
      <c r="I6" s="145" t="n">
        <v>0</v>
      </c>
      <c r="J6" s="145" t="n">
        <v>0</v>
      </c>
      <c r="K6" s="143">
        <f>IF($B6="","",MAX($F6+$H6-$I6-$J6,0))</f>
        <v/>
      </c>
      <c r="L6" s="80">
        <f>IF($B6="","",IF($K6&lt;$G6,"低库存",IF($K6&gt;$G6*3,"高库存","正常")))</f>
        <v/>
      </c>
      <c r="M6" s="132" t="n">
        <v>46144</v>
      </c>
      <c r="N6" s="132" t="n">
        <v>46153</v>
      </c>
      <c r="O6" s="56" t="n">
        <v>0</v>
      </c>
      <c r="P6" s="56" t="inlineStr">
        <is>
          <t>卷材防潮存放</t>
        </is>
      </c>
    </row>
    <row r="7">
      <c r="A7" s="56" t="inlineStr">
        <is>
          <t>装饰库</t>
        </is>
      </c>
      <c r="B7" s="56" t="inlineStr">
        <is>
          <t>M006</t>
        </is>
      </c>
      <c r="C7" s="80">
        <f>IF($B7="","",IFERROR(VLOOKUP($B7,'材料清单与损耗标准'!$A$4:$Q$203,2,FALSE),""))</f>
        <v/>
      </c>
      <c r="D7" s="80">
        <f>IF($B7="","",IFERROR(VLOOKUP($B7,'材料清单与损耗标准'!$A$4:$Q$203,3,FALSE),""))</f>
        <v/>
      </c>
      <c r="E7" s="80">
        <f>IF($B7="","",IFERROR(VLOOKUP($B7,'材料清单与损耗标准'!$A$4:$Q$203,5,FALSE),""))</f>
        <v/>
      </c>
      <c r="F7" s="145" t="n">
        <v>120</v>
      </c>
      <c r="G7" s="145" t="n">
        <v>150</v>
      </c>
      <c r="H7" s="145" t="n">
        <v>0</v>
      </c>
      <c r="I7" s="145" t="n">
        <v>0</v>
      </c>
      <c r="J7" s="145" t="n">
        <v>20</v>
      </c>
      <c r="K7" s="143">
        <f>IF($B7="","",MAX($F7+$H7-$I7-$J7,0))</f>
        <v/>
      </c>
      <c r="L7" s="80">
        <f>IF($B7="","",IF($K7&lt;$G7,"低库存",IF($K7&gt;$G7*3,"高库存","正常")))</f>
        <v/>
      </c>
      <c r="M7" s="132" t="n">
        <v>46147</v>
      </c>
      <c r="N7" s="132" t="n">
        <v>46154</v>
      </c>
      <c r="O7" s="56" t="n">
        <v>-2</v>
      </c>
      <c r="P7" s="56" t="inlineStr">
        <is>
          <t>低于安全库存需补采</t>
        </is>
      </c>
    </row>
    <row r="8">
      <c r="A8" s="56" t="inlineStr">
        <is>
          <t>机电库</t>
        </is>
      </c>
      <c r="B8" s="56" t="inlineStr">
        <is>
          <t>M007</t>
        </is>
      </c>
      <c r="C8" s="80">
        <f>IF($B8="","",IFERROR(VLOOKUP($B8,'材料清单与损耗标准'!$A$4:$Q$203,2,FALSE),""))</f>
        <v/>
      </c>
      <c r="D8" s="80">
        <f>IF($B8="","",IFERROR(VLOOKUP($B8,'材料清单与损耗标准'!$A$4:$Q$203,3,FALSE),""))</f>
        <v/>
      </c>
      <c r="E8" s="80">
        <f>IF($B8="","",IFERROR(VLOOKUP($B8,'材料清单与损耗标准'!$A$4:$Q$203,5,FALSE),""))</f>
        <v/>
      </c>
      <c r="F8" s="145" t="n">
        <v>500</v>
      </c>
      <c r="G8" s="145" t="n">
        <v>300</v>
      </c>
      <c r="H8" s="145" t="n">
        <v>100</v>
      </c>
      <c r="I8" s="145" t="n">
        <v>0</v>
      </c>
      <c r="J8" s="145" t="n">
        <v>80</v>
      </c>
      <c r="K8" s="143">
        <f>IF($B8="","",MAX($F8+$H8-$I8-$J8,0))</f>
        <v/>
      </c>
      <c r="L8" s="80">
        <f>IF($B8="","",IF($K8&lt;$G8,"低库存",IF($K8&gt;$G8*3,"高库存","正常")))</f>
        <v/>
      </c>
      <c r="M8" s="132" t="n">
        <v>46149</v>
      </c>
      <c r="N8" s="132" t="n">
        <v>46154</v>
      </c>
      <c r="O8" s="56" t="n">
        <v>0</v>
      </c>
      <c r="P8" s="56" t="str"/>
    </row>
  </sheetData>
  <mergeCells count="2">
    <mergeCell ref="A1:P1"/>
    <mergeCell ref="A2:P2"/>
  </mergeCells>
  <conditionalFormatting sqref="L4:L8">
    <cfRule type="expression" priority="1" dxfId="0">
      <formula>$L4="低库存"</formula>
    </cfRule>
    <cfRule type="expression" priority="2" dxfId="3">
      <formula>$L4="高库存"</formula>
    </cfRule>
  </conditionalFormatting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L8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4" customWidth="1" min="4" max="4"/>
    <col width="14" customWidth="1" min="5" max="5"/>
    <col width="14" customWidth="1" min="6" max="6"/>
    <col width="12" customWidth="1" min="7" max="7"/>
    <col width="18" customWidth="1" min="8" max="8"/>
    <col width="12" customWidth="1" min="9" max="9"/>
    <col width="8" customWidth="1" min="10" max="10"/>
    <col width="20" customWidth="1" min="11" max="11"/>
    <col width="24" customWidth="1" min="12" max="12"/>
  </cols>
  <sheetData>
    <row r="1" ht="30" customHeight="1">
      <c r="A1" s="72" t="inlineStr">
        <is>
          <t>供应商评估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36" customHeight="1">
      <c r="A2" s="49" t="inlineStr">
        <is>
          <t>说明：按材料类别维护供应商交付、质量、价格与响应评分，自动生成综合评分、等级和合作策略。评分建议采用 0-100 分。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</row>
    <row r="3">
      <c r="A3" s="36" t="inlineStr">
        <is>
          <t>供应商</t>
        </is>
      </c>
      <c r="B3" s="36" t="inlineStr">
        <is>
          <t>材料类别</t>
        </is>
      </c>
      <c r="C3" s="36" t="inlineStr">
        <is>
          <t>联系人</t>
        </is>
      </c>
      <c r="D3" s="36" t="inlineStr">
        <is>
          <t>交付准时率/分</t>
        </is>
      </c>
      <c r="E3" s="36" t="inlineStr">
        <is>
          <t>质量合格率/分</t>
        </is>
      </c>
      <c r="F3" s="36" t="inlineStr">
        <is>
          <t>价格竞争力/分</t>
        </is>
      </c>
      <c r="G3" s="36" t="inlineStr">
        <is>
          <t>响应速度/分</t>
        </is>
      </c>
      <c r="H3" s="36" t="inlineStr">
        <is>
          <t>账期/付款条件</t>
        </is>
      </c>
      <c r="I3" s="36" t="inlineStr">
        <is>
          <t>综合评分</t>
        </is>
      </c>
      <c r="J3" s="36" t="inlineStr">
        <is>
          <t>等级</t>
        </is>
      </c>
      <c r="K3" s="36" t="inlineStr">
        <is>
          <t>建议策略</t>
        </is>
      </c>
      <c r="L3" s="36" t="inlineStr">
        <is>
          <t>备注</t>
        </is>
      </c>
    </row>
    <row r="4">
      <c r="A4" s="56" t="inlineStr">
        <is>
          <t>华北钢材供应链</t>
        </is>
      </c>
      <c r="B4" s="56" t="inlineStr">
        <is>
          <t>钢材</t>
        </is>
      </c>
      <c r="C4" s="56" t="inlineStr">
        <is>
          <t>刘经理</t>
        </is>
      </c>
      <c r="D4" s="148" t="n">
        <v>92</v>
      </c>
      <c r="E4" s="148" t="n">
        <v>95</v>
      </c>
      <c r="F4" s="148" t="n">
        <v>86</v>
      </c>
      <c r="G4" s="148" t="n">
        <v>90</v>
      </c>
      <c r="H4" s="148" t="inlineStr">
        <is>
          <t>月结30天</t>
        </is>
      </c>
      <c r="I4" s="149">
        <f>IF($A4="","",ROUND($D4*0.35+$E4*0.35+$F4*0.15+$G4*0.15,1))</f>
        <v/>
      </c>
      <c r="J4" s="80">
        <f>IF($A4="","",IF($I4&gt;=90,"A",IF($I4&gt;=80,"B",IF($I4&gt;=70,"C","D"))))</f>
        <v/>
      </c>
      <c r="K4" s="80">
        <f>IF($A4="","",IF($J4="A","优先合作/年度框架",IF($J4="B","保持合作/定期议价",IF($J4="C","限量合作/整改观察","淘汰或备用"))))</f>
        <v/>
      </c>
      <c r="L4" s="56" t="inlineStr">
        <is>
          <t>钢筋主力供应商</t>
        </is>
      </c>
    </row>
    <row r="5">
      <c r="A5" s="56" t="inlineStr">
        <is>
          <t>城建商砼</t>
        </is>
      </c>
      <c r="B5" s="56" t="inlineStr">
        <is>
          <t>混凝土</t>
        </is>
      </c>
      <c r="C5" s="56" t="inlineStr">
        <is>
          <t>周经理</t>
        </is>
      </c>
      <c r="D5" s="148" t="n">
        <v>88</v>
      </c>
      <c r="E5" s="148" t="n">
        <v>92</v>
      </c>
      <c r="F5" s="148" t="n">
        <v>80</v>
      </c>
      <c r="G5" s="148" t="n">
        <v>85</v>
      </c>
      <c r="H5" s="148" t="inlineStr">
        <is>
          <t>月结</t>
        </is>
      </c>
      <c r="I5" s="149">
        <f>IF($A5="","",ROUND($D5*0.35+$E5*0.35+$F5*0.15+$G5*0.15,1))</f>
        <v/>
      </c>
      <c r="J5" s="80">
        <f>IF($A5="","",IF($I5&gt;=90,"A",IF($I5&gt;=80,"B",IF($I5&gt;=70,"C","D"))))</f>
        <v/>
      </c>
      <c r="K5" s="80">
        <f>IF($A5="","",IF($J5="A","优先合作/年度框架",IF($J5="B","保持合作/定期议价",IF($J5="C","限量合作/整改观察","淘汰或备用"))))</f>
        <v/>
      </c>
      <c r="L5" s="56" t="inlineStr">
        <is>
          <t>配合浇筑计划</t>
        </is>
      </c>
    </row>
    <row r="6">
      <c r="A6" s="56" t="inlineStr">
        <is>
          <t>防水材料公司</t>
        </is>
      </c>
      <c r="B6" s="56" t="inlineStr">
        <is>
          <t>防水保温</t>
        </is>
      </c>
      <c r="C6" s="56" t="inlineStr">
        <is>
          <t>吴经理</t>
        </is>
      </c>
      <c r="D6" s="148" t="n">
        <v>84</v>
      </c>
      <c r="E6" s="148" t="n">
        <v>90</v>
      </c>
      <c r="F6" s="148" t="n">
        <v>83</v>
      </c>
      <c r="G6" s="148" t="n">
        <v>88</v>
      </c>
      <c r="H6" s="148" t="inlineStr">
        <is>
          <t>货到票后30天</t>
        </is>
      </c>
      <c r="I6" s="149">
        <f>IF($A6="","",ROUND($D6*0.35+$E6*0.35+$F6*0.15+$G6*0.15,1))</f>
        <v/>
      </c>
      <c r="J6" s="80">
        <f>IF($A6="","",IF($I6&gt;=90,"A",IF($I6&gt;=80,"B",IF($I6&gt;=70,"C","D"))))</f>
        <v/>
      </c>
      <c r="K6" s="80">
        <f>IF($A6="","",IF($J6="A","优先合作/年度框架",IF($J6="B","保持合作/定期议价",IF($J6="C","限量合作/整改观察","淘汰或备用"))))</f>
        <v/>
      </c>
      <c r="L6" s="56" t="inlineStr">
        <is>
          <t>需要关注批次检验</t>
        </is>
      </c>
    </row>
    <row r="7">
      <c r="A7" s="56" t="inlineStr">
        <is>
          <t>装饰材料城</t>
        </is>
      </c>
      <c r="B7" s="56" t="inlineStr">
        <is>
          <t>装饰装修</t>
        </is>
      </c>
      <c r="C7" s="56" t="inlineStr">
        <is>
          <t>郑经理</t>
        </is>
      </c>
      <c r="D7" s="148" t="n">
        <v>78</v>
      </c>
      <c r="E7" s="148" t="n">
        <v>86</v>
      </c>
      <c r="F7" s="148" t="n">
        <v>88</v>
      </c>
      <c r="G7" s="148" t="n">
        <v>80</v>
      </c>
      <c r="H7" s="148" t="inlineStr">
        <is>
          <t>预付30%+到货70%</t>
        </is>
      </c>
      <c r="I7" s="149">
        <f>IF($A7="","",ROUND($D7*0.35+$E7*0.35+$F7*0.15+$G7*0.15,1))</f>
        <v/>
      </c>
      <c r="J7" s="80">
        <f>IF($A7="","",IF($I7&gt;=90,"A",IF($I7&gt;=80,"B",IF($I7&gt;=70,"C","D"))))</f>
        <v/>
      </c>
      <c r="K7" s="80">
        <f>IF($A7="","",IF($J7="A","优先合作/年度框架",IF($J7="B","保持合作/定期议价",IF($J7="C","限量合作/整改观察","淘汰或备用"))))</f>
        <v/>
      </c>
      <c r="L7" s="56" t="inlineStr">
        <is>
          <t>色号管理需加强</t>
        </is>
      </c>
    </row>
    <row r="8">
      <c r="A8" s="56" t="inlineStr">
        <is>
          <t>机电供应商</t>
        </is>
      </c>
      <c r="B8" s="56" t="inlineStr">
        <is>
          <t>机电材料</t>
        </is>
      </c>
      <c r="C8" s="56" t="inlineStr">
        <is>
          <t>孙经理</t>
        </is>
      </c>
      <c r="D8" s="148" t="n">
        <v>90</v>
      </c>
      <c r="E8" s="148" t="n">
        <v>88</v>
      </c>
      <c r="F8" s="148" t="n">
        <v>82</v>
      </c>
      <c r="G8" s="148" t="n">
        <v>92</v>
      </c>
      <c r="H8" s="148" t="inlineStr">
        <is>
          <t>月结45天</t>
        </is>
      </c>
      <c r="I8" s="149">
        <f>IF($A8="","",ROUND($D8*0.35+$E8*0.35+$F8*0.15+$G8*0.15,1))</f>
        <v/>
      </c>
      <c r="J8" s="80">
        <f>IF($A8="","",IF($I8&gt;=90,"A",IF($I8&gt;=80,"B",IF($I8&gt;=70,"C","D"))))</f>
        <v/>
      </c>
      <c r="K8" s="80">
        <f>IF($A8="","",IF($J8="A","优先合作/年度框架",IF($J8="B","保持合作/定期议价",IF($J8="C","限量合作/整改观察","淘汰或备用"))))</f>
        <v/>
      </c>
      <c r="L8" s="56" t="inlineStr">
        <is>
          <t>响应较快</t>
        </is>
      </c>
    </row>
  </sheetData>
  <mergeCells count="2">
    <mergeCell ref="A2:L2"/>
    <mergeCell ref="A1:L1"/>
  </mergeCells>
  <conditionalFormatting sqref="I4:I8">
    <cfRule type="colorScale" priority="1">
      <colorScale>
        <cfvo type="min"/>
        <cfvo type="percentile" val="50"/>
        <cfvo type="max"/>
        <color rgb="00F4CCCC"/>
        <color rgb="00FFF2CC"/>
        <color rgb="00D9EAD3"/>
      </colorScale>
    </cfRule>
  </conditionalFormatting>
  <dataValidations count="1">
    <dataValidation sqref="B4:B8" showDropDown="0" showInputMessage="0" showErrorMessage="0" allowBlank="0" type="list">
      <formula1>'参数设置'!$A$17:$A$26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建筑材料损耗分析与精益采购计划表</dc:title>
  <dc:description xmlns:dc="http://purl.org/dc/elements/1.1/">用于建筑材料需求、损耗、采购、库存到货和供应商评估的通用工作簿。</dc:description>
  <dcterms:created xmlns:dcterms="http://purl.org/dc/terms/" xmlns:xsi="http://www.w3.org/2001/XMLSchema-instance" xsi:type="dcterms:W3CDTF">2026-05-14T11:03:00Z</dcterms:created>
  <dcterms:modified xmlns:dcterms="http://purl.org/dc/terms/" xmlns:xsi="http://www.w3.org/2001/XMLSchema-instance" xsi:type="dcterms:W3CDTF">2026-05-14T11:03:00Z</dcterms:modified>
  <cp:lastModifiedBy>Finite Field</cp:lastModifiedBy>
</cp:coreProperties>
</file>