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tables/table7.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tabRatio="600" firstSheet="0" activeTab="0" autoFilterDateGrouping="1"/>
  </bookViews>
  <sheets>
    <sheet xmlns:r="http://schemas.openxmlformats.org/officeDocument/2006/relationships" name="使い方・ガイド" sheetId="1" state="visible" r:id="rId1"/>
    <sheet xmlns:r="http://schemas.openxmlformats.org/officeDocument/2006/relationships" name="辞書設定" sheetId="2" state="visible" r:id="rId2"/>
    <sheet xmlns:r="http://schemas.openxmlformats.org/officeDocument/2006/relationships" name="ダッシュボード" sheetId="3" state="visible" r:id="rId3"/>
    <sheet xmlns:r="http://schemas.openxmlformats.org/officeDocument/2006/relationships" name="購買計画" sheetId="4" state="visible" r:id="rId4"/>
    <sheet xmlns:r="http://schemas.openxmlformats.org/officeDocument/2006/relationships" name="搬入台帳" sheetId="5" state="visible" r:id="rId5"/>
    <sheet xmlns:r="http://schemas.openxmlformats.org/officeDocument/2006/relationships" name="検査記録" sheetId="6" state="visible" r:id="rId6"/>
    <sheet xmlns:r="http://schemas.openxmlformats.org/officeDocument/2006/relationships" name="改善管理台帳" sheetId="7" state="visible" r:id="rId7"/>
    <sheet xmlns:r="http://schemas.openxmlformats.org/officeDocument/2006/relationships" name="在庫履歴" sheetId="8" state="visible" r:id="rId8"/>
    <sheet xmlns:r="http://schemas.openxmlformats.org/officeDocument/2006/relationships" name="仕入先情報" sheetId="9" state="visible" r:id="rId9"/>
  </sheets>
  <definedNames/>
</workbook>
</file>

<file path=xl/styles.xml><?xml version="1.0" encoding="utf-8"?>
<styleSheet xmlns="http://schemas.openxmlformats.org/spreadsheetml/2006/main">
  <numFmts count="5">
    <numFmt numFmtId="164" formatCode="0.0%"/>
    <numFmt numFmtId="165" formatCode="¥#,##0.00"/>
    <numFmt numFmtId="166" formatCode="m月"/>
    <numFmt numFmtId="167" formatCode="¥#,##0"/>
    <numFmt numFmtId="168" formatCode="yyyy-mm-dd"/>
  </numFmts>
  <fonts count="10">
    <font>
      <name val="Carlito"/>
      <sz val="11"/>
    </font>
    <font>
      <name val="Carlito"/>
      <b val="1"/>
      <color rgb="FFFFFFFF"/>
      <sz val="18"/>
    </font>
    <font>
      <name val="Carlito"/>
      <color rgb="FF0F172A"/>
      <sz val="10"/>
    </font>
    <font>
      <name val="Carlito"/>
      <color rgb="FF334155"/>
      <sz val="10"/>
    </font>
    <font>
      <name val="Carlito"/>
      <b val="1"/>
      <color rgb="FFFFFFFF"/>
      <sz val="10"/>
    </font>
    <font>
      <name val="Carlito"/>
      <sz val="10"/>
    </font>
    <font>
      <name val="Carlito"/>
      <b val="1"/>
      <color rgb="FF111827"/>
      <sz val="12"/>
    </font>
    <font>
      <name val="Carlito"/>
      <b val="1"/>
      <color rgb="FFFFFFFF"/>
      <sz val="11"/>
    </font>
    <font>
      <name val="Carlito"/>
      <color rgb="FF111827"/>
      <sz val="10"/>
    </font>
    <font>
      <name val="Carlito"/>
      <color rgb="FF7C2D12"/>
      <sz val="10"/>
    </font>
  </fonts>
  <fills count="8">
    <fill>
      <patternFill/>
    </fill>
    <fill>
      <patternFill patternType="gray125"/>
    </fill>
    <fill>
      <patternFill patternType="solid">
        <fgColor rgb="FF102A43"/>
      </patternFill>
    </fill>
    <fill>
      <patternFill patternType="solid">
        <fgColor rgb="FFE0F2FE"/>
      </patternFill>
    </fill>
    <fill>
      <patternFill patternType="solid">
        <fgColor rgb="FFF8FAFC"/>
      </patternFill>
    </fill>
    <fill>
      <patternFill patternType="solid">
        <fgColor rgb="FF0F4C5C"/>
      </patternFill>
    </fill>
    <fill>
      <patternFill patternType="solid">
        <fgColor rgb="FF7C2D12"/>
      </patternFill>
    </fill>
    <fill>
      <patternFill patternType="solid">
        <fgColor rgb="FFFFF7ED"/>
      </patternFill>
    </fill>
  </fills>
  <borders count="2">
    <border/>
    <border/>
  </borders>
  <cellStyleXfs count="1">
    <xf numFmtId="0" fontId="0" fillId="0" borderId="1"/>
  </cellStyleXfs>
  <cellXfs count="136">
    <xf numFmtId="0" fontId="0" fillId="0" borderId="0" pivotButton="0" quotePrefix="0" xfId="0"/>
    <xf numFmtId="0" fontId="0" fillId="0" borderId="1" pivotButton="0" quotePrefix="0" xfId="0"/>
    <xf numFmtId="0" fontId="0" fillId="2" borderId="0" pivotButton="0" quotePrefix="0" xfId="0"/>
    <xf numFmtId="0" fontId="1" fillId="2" borderId="0" pivotButton="0" quotePrefix="0" xfId="0"/>
    <xf numFmtId="0" fontId="1" fillId="2" borderId="0" applyAlignment="1" pivotButton="0" quotePrefix="0" xfId="0">
      <alignment horizontal="center"/>
    </xf>
    <xf numFmtId="0" fontId="1" fillId="2" borderId="0" applyAlignment="1" pivotButton="0" quotePrefix="0" xfId="0">
      <alignment horizontal="center" vertical="center"/>
    </xf>
    <xf numFmtId="0" fontId="0" fillId="2" borderId="1" pivotButton="0" quotePrefix="0" xfId="0"/>
    <xf numFmtId="0" fontId="1" fillId="2" borderId="1" pivotButton="0" quotePrefix="0" xfId="0"/>
    <xf numFmtId="0" fontId="1" fillId="2" borderId="1" applyAlignment="1" pivotButton="0" quotePrefix="0" xfId="0">
      <alignment horizontal="center"/>
    </xf>
    <xf numFmtId="0" fontId="1" fillId="2" borderId="1" applyAlignment="1" pivotButton="0" quotePrefix="0" xfId="0">
      <alignment horizontal="center" vertical="center"/>
    </xf>
    <xf numFmtId="0" fontId="0" fillId="3" borderId="0" pivotButton="0" quotePrefix="0" xfId="0"/>
    <xf numFmtId="0" fontId="2" fillId="3" borderId="0" pivotButton="0" quotePrefix="0" xfId="0"/>
    <xf numFmtId="0" fontId="2" fillId="3" borderId="0" applyAlignment="1" pivotButton="0" quotePrefix="0" xfId="0">
      <alignment wrapText="1"/>
    </xf>
    <xf numFmtId="0" fontId="2" fillId="3" borderId="0" applyAlignment="1" pivotButton="0" quotePrefix="0" xfId="0">
      <alignment horizontal="left" wrapText="1"/>
    </xf>
    <xf numFmtId="0" fontId="2" fillId="3" borderId="0" applyAlignment="1" pivotButton="0" quotePrefix="0" xfId="0">
      <alignment horizontal="left" vertical="center" wrapText="1"/>
    </xf>
    <xf numFmtId="0" fontId="0" fillId="3" borderId="1" pivotButton="0" quotePrefix="0" xfId="0"/>
    <xf numFmtId="0" fontId="2" fillId="3" borderId="1" pivotButton="0" quotePrefix="0" xfId="0"/>
    <xf numFmtId="0" fontId="2" fillId="3" borderId="1" applyAlignment="1" pivotButton="0" quotePrefix="0" xfId="0">
      <alignment wrapText="1"/>
    </xf>
    <xf numFmtId="0" fontId="2" fillId="3" borderId="1" applyAlignment="1" pivotButton="0" quotePrefix="0" xfId="0">
      <alignment horizontal="left" wrapText="1"/>
    </xf>
    <xf numFmtId="0" fontId="2" fillId="3" borderId="1" applyAlignment="1" pivotButton="0" quotePrefix="0" xfId="0">
      <alignment horizontal="left" vertical="center" wrapText="1"/>
    </xf>
    <xf numFmtId="0" fontId="0" fillId="4" borderId="0" pivotButton="0" quotePrefix="0" xfId="0"/>
    <xf numFmtId="0" fontId="3" fillId="4" borderId="0" pivotButton="0" quotePrefix="0" xfId="0"/>
    <xf numFmtId="0" fontId="3" fillId="4" borderId="0" applyAlignment="1" pivotButton="0" quotePrefix="0" xfId="0">
      <alignment wrapText="1"/>
    </xf>
    <xf numFmtId="0" fontId="3" fillId="4" borderId="0" applyAlignment="1" pivotButton="0" quotePrefix="0" xfId="0">
      <alignment vertical="top" wrapText="1"/>
    </xf>
    <xf numFmtId="0" fontId="0" fillId="4" borderId="1" pivotButton="0" quotePrefix="0" xfId="0"/>
    <xf numFmtId="0" fontId="3" fillId="4" borderId="1" pivotButton="0" quotePrefix="0" xfId="0"/>
    <xf numFmtId="0" fontId="3" fillId="4" borderId="1" applyAlignment="1" pivotButton="0" quotePrefix="0" xfId="0">
      <alignment wrapText="1"/>
    </xf>
    <xf numFmtId="0" fontId="3" fillId="4" borderId="1" applyAlignment="1" pivotButton="0" quotePrefix="0" xfId="0">
      <alignment vertical="top" wrapText="1"/>
    </xf>
    <xf numFmtId="0" fontId="3" fillId="5" borderId="0" applyAlignment="1" pivotButton="0" quotePrefix="0" xfId="0">
      <alignment vertical="top" wrapText="1"/>
    </xf>
    <xf numFmtId="0" fontId="4" fillId="5" borderId="0" applyAlignment="1" pivotButton="0" quotePrefix="0" xfId="0">
      <alignment vertical="top" wrapText="1"/>
    </xf>
    <xf numFmtId="0" fontId="4" fillId="5" borderId="0" applyAlignment="1" pivotButton="0" quotePrefix="0" xfId="0">
      <alignment horizontal="center" vertical="top" wrapText="1"/>
    </xf>
    <xf numFmtId="0" fontId="4" fillId="5" borderId="0" applyAlignment="1" pivotButton="0" quotePrefix="0" xfId="0">
      <alignment horizontal="center" vertical="center" wrapText="1"/>
    </xf>
    <xf numFmtId="0" fontId="3" fillId="5" borderId="1" applyAlignment="1" pivotButton="0" quotePrefix="0" xfId="0">
      <alignment vertical="top" wrapText="1"/>
    </xf>
    <xf numFmtId="0" fontId="4" fillId="5" borderId="1" applyAlignment="1" pivotButton="0" quotePrefix="0" xfId="0">
      <alignment vertical="top" wrapText="1"/>
    </xf>
    <xf numFmtId="0" fontId="4" fillId="5" borderId="1" applyAlignment="1" pivotButton="0" quotePrefix="0" xfId="0">
      <alignment horizontal="center" vertical="top" wrapText="1"/>
    </xf>
    <xf numFmtId="0" fontId="4" fillId="5" borderId="1" applyAlignment="1" pivotButton="0" quotePrefix="0" xfId="0">
      <alignment horizontal="center" vertical="center" wrapText="1"/>
    </xf>
    <xf numFmtId="0" fontId="0" fillId="5" borderId="0" pivotButton="0" quotePrefix="0" xfId="0"/>
    <xf numFmtId="0" fontId="4" fillId="5" borderId="0" pivotButton="0" quotePrefix="0" xfId="0"/>
    <xf numFmtId="0" fontId="4" fillId="5" borderId="0" applyAlignment="1" pivotButton="0" quotePrefix="0" xfId="0">
      <alignment wrapText="1"/>
    </xf>
    <xf numFmtId="0" fontId="4" fillId="5" borderId="0" applyAlignment="1" pivotButton="0" quotePrefix="0" xfId="0">
      <alignment horizontal="center" wrapText="1"/>
    </xf>
    <xf numFmtId="0" fontId="0" fillId="5" borderId="1" pivotButton="0" quotePrefix="0" xfId="0"/>
    <xf numFmtId="0" fontId="4" fillId="5" borderId="1" pivotButton="0" quotePrefix="0" xfId="0"/>
    <xf numFmtId="0" fontId="4" fillId="5" borderId="1" applyAlignment="1" pivotButton="0" quotePrefix="0" xfId="0">
      <alignment wrapText="1"/>
    </xf>
    <xf numFmtId="0" fontId="4" fillId="5" borderId="1" applyAlignment="1" pivotButton="0" quotePrefix="0" xfId="0">
      <alignment horizontal="center" wrapText="1"/>
    </xf>
    <xf numFmtId="0" fontId="5" fillId="0" borderId="0" pivotButton="0" quotePrefix="0" xfId="0"/>
    <xf numFmtId="0" fontId="5" fillId="0" borderId="0" applyAlignment="1" pivotButton="0" quotePrefix="0" xfId="0">
      <alignment wrapText="1"/>
    </xf>
    <xf numFmtId="0" fontId="5" fillId="0" borderId="0" applyAlignment="1" pivotButton="0" quotePrefix="0" xfId="0">
      <alignment vertical="top" wrapText="1"/>
    </xf>
    <xf numFmtId="0" fontId="5" fillId="0" borderId="1" pivotButton="0" quotePrefix="0" xfId="0"/>
    <xf numFmtId="0" fontId="5" fillId="0" borderId="1" applyAlignment="1" pivotButton="0" quotePrefix="0" xfId="0">
      <alignment wrapText="1"/>
    </xf>
    <xf numFmtId="0" fontId="5" fillId="0" borderId="1" applyAlignment="1" pivotButton="0" quotePrefix="0" xfId="0">
      <alignment vertical="top" wrapText="1"/>
    </xf>
    <xf numFmtId="0" fontId="5" fillId="0" borderId="0" applyAlignment="1" pivotButton="0" quotePrefix="0" xfId="0">
      <alignment vertical="center" wrapText="1"/>
    </xf>
    <xf numFmtId="0" fontId="5" fillId="0" borderId="1" applyAlignment="1" pivotButton="0" quotePrefix="0" xfId="0">
      <alignment vertical="center" wrapText="1"/>
    </xf>
    <xf numFmtId="0" fontId="5" fillId="5" borderId="0" applyAlignment="1" pivotButton="0" quotePrefix="0" xfId="0">
      <alignment vertical="center" wrapText="1"/>
    </xf>
    <xf numFmtId="0" fontId="4" fillId="5" borderId="0" applyAlignment="1" pivotButton="0" quotePrefix="0" xfId="0">
      <alignment vertical="center" wrapText="1"/>
    </xf>
    <xf numFmtId="0" fontId="5" fillId="5" borderId="1" applyAlignment="1" pivotButton="0" quotePrefix="0" xfId="0">
      <alignment vertical="center" wrapText="1"/>
    </xf>
    <xf numFmtId="0" fontId="4" fillId="5" borderId="1" applyAlignment="1" pivotButton="0" quotePrefix="0" xfId="0">
      <alignment vertical="center" wrapText="1"/>
    </xf>
    <xf numFmtId="0" fontId="5" fillId="4" borderId="0" applyAlignment="1" pivotButton="0" quotePrefix="0" xfId="0">
      <alignment vertical="center" wrapText="1"/>
    </xf>
    <xf numFmtId="0" fontId="6" fillId="4" borderId="0" applyAlignment="1" pivotButton="0" quotePrefix="0" xfId="0">
      <alignment vertical="center" wrapText="1"/>
    </xf>
    <xf numFmtId="0" fontId="6" fillId="4" borderId="0" applyAlignment="1" pivotButton="0" quotePrefix="0" xfId="0">
      <alignment horizontal="center" vertical="center" wrapText="1"/>
    </xf>
    <xf numFmtId="0" fontId="5" fillId="4" borderId="1" applyAlignment="1" pivotButton="0" quotePrefix="0" xfId="0">
      <alignment vertical="center" wrapText="1"/>
    </xf>
    <xf numFmtId="0" fontId="6" fillId="4" borderId="1" applyAlignment="1" pivotButton="0" quotePrefix="0" xfId="0">
      <alignment vertical="center" wrapText="1"/>
    </xf>
    <xf numFmtId="0" fontId="6" fillId="4" borderId="1" applyAlignment="1" pivotButton="0" quotePrefix="0" xfId="0">
      <alignment horizontal="center" vertical="center" wrapText="1"/>
    </xf>
    <xf numFmtId="164" fontId="6" fillId="4" borderId="0" applyAlignment="1" pivotButton="0" quotePrefix="0" xfId="0">
      <alignment horizontal="center" vertical="center" wrapText="1"/>
    </xf>
    <xf numFmtId="164" fontId="6" fillId="4" borderId="1" applyAlignment="1" pivotButton="0" quotePrefix="0" xfId="0">
      <alignment horizontal="center" vertical="center" wrapText="1"/>
    </xf>
    <xf numFmtId="165" fontId="6" fillId="4" borderId="0" applyAlignment="1" pivotButton="0" quotePrefix="0" xfId="0">
      <alignment horizontal="center" vertical="center" wrapText="1"/>
    </xf>
    <xf numFmtId="165" fontId="6" fillId="4" borderId="1" applyAlignment="1" pivotButton="0" quotePrefix="0" xfId="0">
      <alignment horizontal="center" vertical="center" wrapText="1"/>
    </xf>
    <xf numFmtId="0" fontId="5" fillId="0" borderId="0" applyAlignment="1" pivotButton="0" quotePrefix="0" xfId="0">
      <alignment vertical="center"/>
    </xf>
    <xf numFmtId="0" fontId="5" fillId="0" borderId="1" applyAlignment="1" pivotButton="0" quotePrefix="0" xfId="0">
      <alignment vertical="center"/>
    </xf>
    <xf numFmtId="166" fontId="0" fillId="0" borderId="0" pivotButton="0" quotePrefix="0" xfId="0"/>
    <xf numFmtId="166" fontId="0" fillId="0" borderId="1" pivotButton="0" quotePrefix="0" xfId="0"/>
    <xf numFmtId="167" fontId="0" fillId="0" borderId="0" pivotButton="0" quotePrefix="0" xfId="0"/>
    <xf numFmtId="167" fontId="0" fillId="0" borderId="1" pivotButton="0" quotePrefix="0" xfId="0"/>
    <xf numFmtId="0" fontId="0" fillId="6" borderId="0" pivotButton="0" quotePrefix="0" xfId="0"/>
    <xf numFmtId="0" fontId="7" fillId="6" borderId="0" pivotButton="0" quotePrefix="0" xfId="0"/>
    <xf numFmtId="0" fontId="7" fillId="6" borderId="0" applyAlignment="1" pivotButton="0" quotePrefix="0" xfId="0">
      <alignment horizontal="center"/>
    </xf>
    <xf numFmtId="0" fontId="7" fillId="6" borderId="0" applyAlignment="1" pivotButton="0" quotePrefix="0" xfId="0">
      <alignment horizontal="center" vertical="center"/>
    </xf>
    <xf numFmtId="0" fontId="0" fillId="6" borderId="1" pivotButton="0" quotePrefix="0" xfId="0"/>
    <xf numFmtId="0" fontId="7" fillId="6" borderId="1" pivotButton="0" quotePrefix="0" xfId="0"/>
    <xf numFmtId="0" fontId="7" fillId="6" borderId="1" applyAlignment="1" pivotButton="0" quotePrefix="0" xfId="0">
      <alignment horizontal="center"/>
    </xf>
    <xf numFmtId="0" fontId="7" fillId="6" borderId="1" applyAlignment="1" pivotButton="0" quotePrefix="0" xfId="0">
      <alignment horizontal="center" vertical="center"/>
    </xf>
    <xf numFmtId="0" fontId="0" fillId="0" borderId="0" applyAlignment="1" pivotButton="0" quotePrefix="0" xfId="0">
      <alignment wrapText="1"/>
    </xf>
    <xf numFmtId="0" fontId="0" fillId="0" borderId="0" applyAlignment="1" pivotButton="0" quotePrefix="0" xfId="0">
      <alignment vertical="top" wrapText="1"/>
    </xf>
    <xf numFmtId="0" fontId="0" fillId="0" borderId="1" applyAlignment="1" pivotButton="0" quotePrefix="0" xfId="0">
      <alignment wrapText="1"/>
    </xf>
    <xf numFmtId="0" fontId="0" fillId="0" borderId="1" applyAlignment="1" pivotButton="0" quotePrefix="0" xfId="0">
      <alignment vertical="top" wrapText="1"/>
    </xf>
    <xf numFmtId="0" fontId="8" fillId="0" borderId="0" pivotButton="0" quotePrefix="0" xfId="0"/>
    <xf numFmtId="0" fontId="8" fillId="0" borderId="0" applyAlignment="1" pivotButton="0" quotePrefix="0" xfId="0">
      <alignment wrapText="1"/>
    </xf>
    <xf numFmtId="0" fontId="8" fillId="0" borderId="0" applyAlignment="1" pivotButton="0" quotePrefix="0" xfId="0">
      <alignment vertical="center" wrapText="1"/>
    </xf>
    <xf numFmtId="0" fontId="8" fillId="0" borderId="1" pivotButton="0" quotePrefix="0" xfId="0"/>
    <xf numFmtId="0" fontId="8" fillId="0" borderId="1" applyAlignment="1" pivotButton="0" quotePrefix="0" xfId="0">
      <alignment wrapText="1"/>
    </xf>
    <xf numFmtId="0" fontId="8" fillId="0" borderId="1" applyAlignment="1" pivotButton="0" quotePrefix="0" xfId="0">
      <alignment vertical="center" wrapText="1"/>
    </xf>
    <xf numFmtId="168" fontId="8" fillId="0" borderId="0" applyAlignment="1" pivotButton="0" quotePrefix="0" xfId="0">
      <alignment vertical="center" wrapText="1"/>
    </xf>
    <xf numFmtId="168" fontId="8" fillId="0" borderId="1" applyAlignment="1" pivotButton="0" quotePrefix="0" xfId="0">
      <alignment vertical="center" wrapText="1"/>
    </xf>
    <xf numFmtId="4" fontId="8" fillId="0" borderId="0" applyAlignment="1" pivotButton="0" quotePrefix="0" xfId="0">
      <alignment vertical="center" wrapText="1"/>
    </xf>
    <xf numFmtId="4" fontId="8" fillId="0" borderId="1" applyAlignment="1" pivotButton="0" quotePrefix="0" xfId="0">
      <alignment vertical="center" wrapText="1"/>
    </xf>
    <xf numFmtId="1" fontId="8" fillId="0" borderId="0" applyAlignment="1" pivotButton="0" quotePrefix="0" xfId="0">
      <alignment vertical="center" wrapText="1"/>
    </xf>
    <xf numFmtId="1" fontId="8" fillId="0" borderId="1" applyAlignment="1" pivotButton="0" quotePrefix="0" xfId="0">
      <alignment vertical="center" wrapText="1"/>
    </xf>
    <xf numFmtId="165" fontId="8" fillId="0" borderId="0" applyAlignment="1" pivotButton="0" quotePrefix="0" xfId="0">
      <alignment vertical="center" wrapText="1"/>
    </xf>
    <xf numFmtId="165" fontId="8" fillId="0" borderId="1" applyAlignment="1" pivotButton="0" quotePrefix="0" xfId="0">
      <alignment vertical="center" wrapText="1"/>
    </xf>
    <xf numFmtId="164" fontId="8" fillId="0" borderId="0" applyAlignment="1" pivotButton="0" quotePrefix="0" xfId="0">
      <alignment vertical="center" wrapText="1"/>
    </xf>
    <xf numFmtId="164" fontId="8" fillId="0" borderId="1" applyAlignment="1" pivotButton="0" quotePrefix="0" xfId="0">
      <alignment vertical="center" wrapText="1"/>
    </xf>
    <xf numFmtId="166" fontId="5" fillId="0" borderId="0" pivotButton="0" quotePrefix="0" xfId="0"/>
    <xf numFmtId="167" fontId="5" fillId="0" borderId="0" pivotButton="0" quotePrefix="0" xfId="0"/>
    <xf numFmtId="166" fontId="5" fillId="0" borderId="0" applyAlignment="1" pivotButton="0" quotePrefix="0" xfId="0">
      <alignment wrapText="1"/>
    </xf>
    <xf numFmtId="167" fontId="5" fillId="0" borderId="0" applyAlignment="1" pivotButton="0" quotePrefix="0" xfId="0">
      <alignment wrapText="1"/>
    </xf>
    <xf numFmtId="166" fontId="5" fillId="0" borderId="1" pivotButton="0" quotePrefix="0" xfId="0"/>
    <xf numFmtId="167" fontId="5" fillId="0" borderId="1" pivotButton="0" quotePrefix="0" xfId="0"/>
    <xf numFmtId="166" fontId="5" fillId="0" borderId="1" applyAlignment="1" pivotButton="0" quotePrefix="0" xfId="0">
      <alignment wrapText="1"/>
    </xf>
    <xf numFmtId="167" fontId="5" fillId="0" borderId="1" applyAlignment="1" pivotButton="0" quotePrefix="0" xfId="0">
      <alignment wrapText="1"/>
    </xf>
    <xf numFmtId="0" fontId="0" fillId="7" borderId="0" pivotButton="0" quotePrefix="0" xfId="0"/>
    <xf numFmtId="0" fontId="9" fillId="7" borderId="0" pivotButton="0" quotePrefix="0" xfId="0"/>
    <xf numFmtId="0" fontId="9" fillId="7" borderId="0" applyAlignment="1" pivotButton="0" quotePrefix="0" xfId="0">
      <alignment wrapText="1"/>
    </xf>
    <xf numFmtId="0" fontId="9" fillId="7" borderId="0" applyAlignment="1" pivotButton="0" quotePrefix="0" xfId="0">
      <alignment vertical="center" wrapText="1"/>
    </xf>
    <xf numFmtId="0" fontId="0" fillId="7" borderId="1" pivotButton="0" quotePrefix="0" xfId="0"/>
    <xf numFmtId="0" fontId="9" fillId="7" borderId="1" pivotButton="0" quotePrefix="0" xfId="0"/>
    <xf numFmtId="0" fontId="9" fillId="7" borderId="1" applyAlignment="1" pivotButton="0" quotePrefix="0" xfId="0">
      <alignment wrapText="1"/>
    </xf>
    <xf numFmtId="0" fontId="9" fillId="7" borderId="1" applyAlignment="1" pivotButton="0" quotePrefix="0" xfId="0">
      <alignment vertical="center" wrapText="1"/>
    </xf>
    <xf numFmtId="0" fontId="0" fillId="0" borderId="0" applyAlignment="1" pivotButton="0" quotePrefix="0" xfId="0">
      <alignment vertical="center"/>
    </xf>
    <xf numFmtId="0" fontId="3" fillId="4" borderId="0" applyAlignment="1" pivotButton="0" quotePrefix="0" xfId="0">
      <alignment vertical="center" wrapText="1"/>
    </xf>
    <xf numFmtId="0" fontId="0" fillId="0" borderId="1" applyAlignment="1" pivotButton="0" quotePrefix="0" xfId="0">
      <alignment vertical="center"/>
    </xf>
    <xf numFmtId="0" fontId="3" fillId="4" borderId="1" applyAlignment="1" pivotButton="0" quotePrefix="0" xfId="0">
      <alignment vertical="center" wrapText="1"/>
    </xf>
    <xf numFmtId="166" fontId="5" fillId="0" borderId="0" applyAlignment="1" pivotButton="0" quotePrefix="0" xfId="0">
      <alignment vertical="center" wrapText="1"/>
    </xf>
    <xf numFmtId="167" fontId="5" fillId="0" borderId="0" applyAlignment="1" pivotButton="0" quotePrefix="0" xfId="0">
      <alignment vertical="center" wrapText="1"/>
    </xf>
    <xf numFmtId="166" fontId="5" fillId="0" borderId="1" applyAlignment="1" pivotButton="0" quotePrefix="0" xfId="0">
      <alignment vertical="center" wrapText="1"/>
    </xf>
    <xf numFmtId="167" fontId="5" fillId="0" borderId="1" applyAlignment="1" pivotButton="0" quotePrefix="0" xfId="0">
      <alignment vertical="center" wrapText="1"/>
    </xf>
    <xf numFmtId="0" fontId="0" fillId="0" borderId="0" pivotButton="0" quotePrefix="0" xfId="0"/>
    <xf numFmtId="3" fontId="6" fillId="4" borderId="0" applyAlignment="1" pivotButton="0" quotePrefix="0" xfId="0">
      <alignment horizontal="center" vertical="center" wrapText="1"/>
    </xf>
    <xf numFmtId="3" fontId="5" fillId="0" borderId="0" applyAlignment="1" pivotButton="0" quotePrefix="0" xfId="0">
      <alignment vertical="center" wrapText="1"/>
    </xf>
    <xf numFmtId="164" fontId="6" fillId="4" borderId="0" applyAlignment="1" pivotButton="0" quotePrefix="0" xfId="0">
      <alignment horizontal="center" vertical="center" wrapText="1"/>
    </xf>
    <xf numFmtId="3" fontId="6" fillId="4" borderId="0" applyAlignment="1" pivotButton="0" quotePrefix="0" xfId="0">
      <alignment horizontal="center" vertical="center" wrapText="1"/>
    </xf>
    <xf numFmtId="166" fontId="5" fillId="0" borderId="0" applyAlignment="1" pivotButton="0" quotePrefix="0" xfId="0">
      <alignment vertical="center" wrapText="1"/>
    </xf>
    <xf numFmtId="3" fontId="5" fillId="0" borderId="0" applyAlignment="1" pivotButton="0" quotePrefix="0" xfId="0">
      <alignment vertical="center" wrapText="1"/>
    </xf>
    <xf numFmtId="4" fontId="8" fillId="0" borderId="0" applyAlignment="1" pivotButton="0" quotePrefix="0" xfId="0">
      <alignment vertical="center" wrapText="1"/>
    </xf>
    <xf numFmtId="168" fontId="8" fillId="0" borderId="0" applyAlignment="1" pivotButton="0" quotePrefix="0" xfId="0">
      <alignment vertical="center" wrapText="1"/>
    </xf>
    <xf numFmtId="1" fontId="8" fillId="0" borderId="0" applyAlignment="1" pivotButton="0" quotePrefix="0" xfId="0">
      <alignment vertical="center" wrapText="1"/>
    </xf>
    <xf numFmtId="165" fontId="8" fillId="0" borderId="0" applyAlignment="1" pivotButton="0" quotePrefix="0" xfId="0">
      <alignment vertical="center" wrapText="1"/>
    </xf>
    <xf numFmtId="164" fontId="8" fillId="0" borderId="0" applyAlignment="1" pivotButton="0" quotePrefix="0" xfId="0">
      <alignment vertical="center" wrapText="1"/>
    </xf>
  </cellXfs>
  <cellStyles count="1">
    <cellStyle name="Normal" xfId="0"/>
  </cellStyles>
  <dxfs count="18">
    <dxf>
      <fill>
        <patternFill>
          <bgColor rgb="FFFEF3C7"/>
        </patternFill>
      </fill>
    </dxf>
    <dxf>
      <font>
        <b val="1"/>
        <color rgb="FF7F1D1D"/>
      </font>
      <fill>
        <patternFill>
          <bgColor rgb="FFFECACA"/>
        </patternFill>
      </fill>
    </dxf>
    <dxf>
      <font>
        <b val="1"/>
        <color rgb="FF14532D"/>
      </font>
      <fill>
        <patternFill>
          <bgColor rgb="FFDCFCE7"/>
        </patternFill>
      </fill>
    </dxf>
    <dxf>
      <font>
        <color rgb="FF713F12"/>
      </font>
      <fill>
        <patternFill>
          <bgColor rgb="FFFEF3C7"/>
        </patternFill>
      </fill>
    </dxf>
    <dxf>
      <fill>
        <patternFill>
          <bgColor rgb="FFFEF3C7"/>
        </patternFill>
      </fill>
    </dxf>
    <dxf>
      <font>
        <b val="1"/>
        <color rgb="FF7F1D1D"/>
      </font>
      <fill>
        <patternFill>
          <bgColor rgb="FFFECACA"/>
        </patternFill>
      </fill>
    </dxf>
    <dxf>
      <font>
        <b val="1"/>
        <color rgb="FF991B1B"/>
      </font>
      <fill>
        <patternFill>
          <bgColor rgb="FFFEE2E2"/>
        </patternFill>
      </fill>
    </dxf>
    <dxf>
      <font>
        <color rgb="FF991B1B"/>
      </font>
      <fill>
        <patternFill>
          <bgColor rgb="FFFEE2E2"/>
        </patternFill>
      </fill>
    </dxf>
    <dxf>
      <font>
        <b val="1"/>
        <color rgb="FF7F1D1D"/>
      </font>
      <fill>
        <patternFill>
          <bgColor rgb="FFFECACA"/>
        </patternFill>
      </fill>
    </dxf>
    <dxf>
      <font>
        <b val="1"/>
        <color rgb="FF14532D"/>
      </font>
      <fill>
        <patternFill>
          <bgColor rgb="FFDCFCE7"/>
        </patternFill>
      </fill>
    </dxf>
    <dxf>
      <font>
        <b val="1"/>
        <color rgb="FF991B1B"/>
      </font>
      <fill>
        <patternFill>
          <bgColor rgb="FFFEE2E2"/>
        </patternFill>
      </fill>
    </dxf>
    <dxf>
      <font>
        <color rgb="FF991B1B"/>
      </font>
      <fill>
        <patternFill>
          <bgColor rgb="FFFEE2E2"/>
        </patternFill>
      </fill>
    </dxf>
    <dxf>
      <font>
        <b val="1"/>
        <color rgb="FF7F1D1D"/>
      </font>
      <fill>
        <patternFill>
          <bgColor rgb="FFFECACA"/>
        </patternFill>
      </fill>
    </dxf>
    <dxf>
      <font>
        <b val="1"/>
        <color rgb="FF991B1B"/>
      </font>
      <fill>
        <patternFill>
          <bgColor rgb="FFFEE2E2"/>
        </patternFill>
      </fill>
    </dxf>
    <dxf>
      <font>
        <color rgb="FF991B1B"/>
      </font>
      <fill>
        <patternFill>
          <bgColor rgb="FFFEE2E2"/>
        </patternFill>
      </fill>
    </dxf>
    <dxf>
      <font>
        <b val="1"/>
        <color rgb="FF991B1B"/>
      </font>
      <fill>
        <patternFill>
          <bgColor rgb="FFFEE2E2"/>
        </patternFill>
      </fill>
    </dxf>
    <dxf>
      <font>
        <color rgb="FF991B1B"/>
      </font>
      <fill>
        <patternFill>
          <bgColor rgb="FFFEE2E2"/>
        </patternFill>
      </fill>
    </dxf>
    <dxf>
      <font>
        <b val="1"/>
        <color rgb="FF991B1B"/>
      </font>
      <fill>
        <patternFill>
          <bgColor rgb="FFFEE2E2"/>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styles" Target="styles.xml" Id="rId10"/><Relationship Type="http://schemas.openxmlformats.org/officeDocument/2006/relationships/theme" Target="theme/theme1.xml" Id="rId11"/></Relationships>
</file>

<file path=xl/charts/chart1.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受入状態の内訳</a:t>
            </a:r>
          </a:p>
        </rich>
      </tx>
      <overlay val="0"/>
    </title>
    <plotArea>
      <layout/>
      <barChart>
        <barDir val="col"/>
        <grouping val="clustered"/>
        <varyColors val="0"/>
        <ser>
          <idx val="0"/>
          <order val="0"/>
          <tx>
            <v>数量</v>
          </tx>
          <spPr>
            <a:ln xmlns:a="http://schemas.openxmlformats.org/drawingml/2006/main">
              <a:prstDash val="solid"/>
            </a:ln>
          </spPr>
          <cat>
            <strRef>
              <f>'ダッシュボード'!$A$9:$A$13</f>
              <strCache>
                <ptCount val="0"/>
              </strCache>
            </strRef>
          </cat>
          <val>
            <numRef>
              <f>'ダッシュボード'!$B$9:$B$13</f>
              <numCach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charts/chart2.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年間搬入ロット数と金額の推移</a:t>
            </a:r>
          </a:p>
        </rich>
      </tx>
      <overlay val="0"/>
    </title>
    <plotArea>
      <layout/>
      <lineChart>
        <grouping val="standard"/>
        <ser>
          <idx val="0"/>
          <order val="0"/>
          <tx>
            <v>ロット</v>
          </tx>
          <spPr>
            <a:ln xmlns:a="http://schemas.openxmlformats.org/drawingml/2006/main">
              <a:prstDash val="solid"/>
            </a:ln>
          </spPr>
          <marker>
            <symbol val="none"/>
            <spPr>
              <a:ln xmlns:a="http://schemas.openxmlformats.org/drawingml/2006/main">
                <a:prstDash val="solid"/>
              </a:ln>
            </spPr>
          </marker>
          <cat>
            <strRef>
              <f>'ダッシュボード'!$K$9:$K$20</f>
              <strCache>
                <ptCount val="0"/>
              </strCache>
            </strRef>
          </cat>
          <val>
            <numRef>
              <f>'ダッシュボード'!$L$9:$L$20</f>
              <numCache>
                <ptCount val="0"/>
              </numCache>
            </numRef>
          </val>
          <smooth val="0"/>
        </ser>
        <ser>
          <idx val="1"/>
          <order val="1"/>
          <tx>
            <v>金額</v>
          </tx>
          <spPr>
            <a:ln xmlns:a="http://schemas.openxmlformats.org/drawingml/2006/main">
              <a:prstDash val="solid"/>
            </a:ln>
          </spPr>
          <marker>
            <symbol val="none"/>
            <spPr>
              <a:ln xmlns:a="http://schemas.openxmlformats.org/drawingml/2006/main">
                <a:prstDash val="solid"/>
              </a:ln>
            </spPr>
          </marker>
          <cat>
            <strRef>
              <f>'ダッシュボード'!$K$9:$K$20</f>
              <strCache>
                <ptCount val="0"/>
              </strCache>
            </strRef>
          </cat>
          <val>
            <numRef>
              <f>'ダッシュボード'!$M$9:$M$20</f>
              <numCache>
                <formatCode>#,##0</formatCode>
                <ptCount val="0"/>
              </numCache>
            </numRef>
          </val>
          <smooth val="0"/>
        </ser>
        <dLbls>
          <showLegendKey val="0"/>
          <showVal val="0"/>
          <showCatName val="0"/>
          <showSerName val="0"/>
          <showPercent val="0"/>
          <showBubbleSize val="0"/>
          <showLeaderLines val="0"/>
        </dLbls>
        <axId val="48650112"/>
        <axId val="48672768"/>
      </line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 sourceLinked="0"/>
        <majorTickMark val="none"/>
        <minorTickMark val="none"/>
        <crossAx val="48650112"/>
        <crosses val="autoZero"/>
        <crossBetween val="between"/>
      </valAx>
    </plotArea>
    <legend>
      <legendPos val="b"/>
      <overlay val="0"/>
    </legend>
    <plotVisOnly val="1"/>
    <dispBlanksAs val="gap"/>
  </chart>
  <spPr>
    <a:ln xmlns:a="http://schemas.openxmlformats.org/drawingml/2006/main" w="9525">
      <a:solidFill>
        <a:srgbClr val="D9D9D9"/>
      </a:solidFill>
      <a:prstDash val="solid"/>
    </a:ln>
  </spPr>
</chartSpace>
</file>

<file path=xl/charts/chart3.xml><?xml version="1.0" encoding="utf-8"?>
<chartSpace xmlns="http://schemas.openxmlformats.org/drawingml/2006/chart">
  <chart>
    <title>
      <tx>
        <rich>
          <a:bodyPr xmlns:a="http://schemas.openxmlformats.org/drawingml/2006/main"/>
          <a:lstStyle xmlns:a="http://schemas.openxmlformats.org/drawingml/2006/main"/>
          <a:p xmlns:a="http://schemas.openxmlformats.org/drawingml/2006/main">
            <a:r>
              <a:rPr/>
              <a:t>資材分類別の搬入ロット数</a:t>
            </a:r>
          </a:p>
        </rich>
      </tx>
      <overlay val="0"/>
    </title>
    <plotArea>
      <layout/>
      <barChart>
        <barDir val="col"/>
        <grouping val="clustered"/>
        <varyColors val="0"/>
        <ser>
          <idx val="0"/>
          <order val="0"/>
          <tx>
            <v>ロット</v>
          </tx>
          <spPr>
            <a:ln xmlns:a="http://schemas.openxmlformats.org/drawingml/2006/main">
              <a:prstDash val="solid"/>
            </a:ln>
          </spPr>
          <cat>
            <strRef>
              <f>'ダッシュボード'!$A$24:$A$37</f>
              <strCache>
                <ptCount val="0"/>
              </strCache>
            </strRef>
          </cat>
          <val>
            <numRef>
              <f>'ダッシュボード'!$B$24:$B$37</f>
              <numCache>
                <ptCount val="0"/>
              </numCache>
            </numRef>
          </val>
        </ser>
        <dLbls>
          <showLegendKey val="0"/>
          <showVal val="0"/>
          <showCatName val="0"/>
          <showSerName val="0"/>
          <showPercent val="0"/>
          <showBubbleSize val="0"/>
          <showLeaderLines val="0"/>
        </dLbls>
        <gapWidth val="150"/>
        <axId val="48650112"/>
        <axId val="48672768"/>
      </barChart>
      <catAx>
        <axId val="48650112"/>
        <scaling>
          <orientation val="minMax"/>
        </scaling>
        <delete val="0"/>
        <axPos val="b"/>
        <majorGridlines>
          <spPr>
            <a:ln xmlns:a="http://schemas.openxmlformats.org/drawingml/2006/main" w="9525">
              <a:solidFill>
                <a:srgbClr val="CCCCCC"/>
              </a:solidFill>
              <a:prstDash val="dash"/>
            </a:ln>
          </spPr>
        </majorGridlines>
        <numFmt formatCode="" sourceLinked="0"/>
        <majorTickMark val="none"/>
        <minorTickMark val="none"/>
        <tickLblPos val="nextTo"/>
        <crossAx val="48672768"/>
        <crosses val="autoZero"/>
        <lblAlgn val="ctr"/>
        <lblOffset val="100"/>
        <noMultiLvlLbl val="0"/>
      </catAx>
      <valAx>
        <axId val="48672768"/>
        <scaling>
          <orientation val="minMax"/>
        </scaling>
        <delete val="0"/>
        <axPos val="l"/>
        <majorGridlines>
          <spPr>
            <a:ln xmlns:a="http://schemas.openxmlformats.org/drawingml/2006/main" w="9525">
              <a:solidFill>
                <a:srgbClr val="CCCCCC"/>
              </a:solidFill>
              <a:prstDash val="dash"/>
            </a:ln>
          </spPr>
        </majorGridlines>
        <numFmt formatCode="" sourceLinked="0"/>
        <majorTickMark val="none"/>
        <minorTickMark val="none"/>
        <crossAx val="48650112"/>
        <crosses val="autoZero"/>
        <crossBetween val="between"/>
      </valAx>
    </plotArea>
    <plotVisOnly val="1"/>
    <dispBlanksAs val="gap"/>
  </chart>
  <spPr>
    <a:ln xmlns:a="http://schemas.openxmlformats.org/drawingml/2006/main" w="9525">
      <a:solidFill>
        <a:srgbClr val="D9D9D9"/>
      </a:solidFill>
      <a:prstDash val="solid"/>
    </a:ln>
  </spPr>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twoCellAnchor>
    <from>
      <col>3</col>
      <colOff>0</colOff>
      <row>6</row>
      <rowOff>0</rowOff>
    </from>
    <to>
      <col>10</col>
      <colOff>0</colOff>
      <row>20</row>
      <rowOff>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from>
      <col>13</col>
      <colOff>0</colOff>
      <row>6</row>
      <rowOff>0</rowOff>
    </from>
    <to>
      <col>20</col>
      <colOff>0</colOff>
      <row>20</row>
      <rowOff>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twoCellAnchor>
    <from>
      <col>3</col>
      <colOff>0</colOff>
      <row>21</row>
      <rowOff>0</rowOff>
    </from>
    <to>
      <col>10</col>
      <colOff>0</colOff>
      <row>38</row>
      <rowOff>0</rowOff>
    </to>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twoCellAnchor>
</wsDr>
</file>

<file path=xl/tables/table1.xml><?xml version="1.0" encoding="utf-8"?>
<table xmlns="http://schemas.openxmlformats.org/spreadsheetml/2006/main" id="1" name="ConfigListsTable" displayName="ConfigListsTable" ref="A4:T18" headerRowCount="1">
  <tableColumns count="20">
    <tableColumn id="1" name="業務シーン"/>
    <tableColumn id="2" name="資材分類"/>
    <tableColumn id="3" name="単位"/>
    <tableColumn id="4" name="受入状態"/>
    <tableColumn id="5" name="書類状態"/>
    <tableColumn id="6" name="検査要いいえ"/>
    <tableColumn id="7" name="検査状態"/>
    <tableColumn id="8" name="入庫有無"/>
    <tableColumn id="9" name="現場／倉庫"/>
    <tableColumn id="10" name="エリア／工区"/>
    <tableColumn id="11" name="担当者／役割"/>
    <tableColumn id="12" name="問題発生元"/>
    <tableColumn id="13" name="問題種別"/>
    <tableColumn id="14" name="重大度"/>
    <tableColumn id="15" name="改善状態"/>
    <tableColumn id="16" name="在庫業務種別"/>
    <tableColumn id="17" name="購買状態"/>
    <tableColumn id="18" name="検査結果"/>
    <tableColumn id="19" name="仕入先資格状態"/>
    <tableColumn id="20" name="仕入先評価"/>
  </tableColumns>
  <tableStyleInfo name="TableStyleMedium2" showRowStripes="1"/>
</table>
</file>

<file path=xl/tables/table2.xml><?xml version="1.0" encoding="utf-8"?>
<table xmlns="http://schemas.openxmlformats.org/spreadsheetml/2006/main" id="2" name="ProcurementPlanTable" displayName="ProcurementPlanTable" ref="A4:O7" headerRowCount="1">
  <tableColumns count="15">
    <tableColumn id="1" name="計画番号"/>
    <tableColumn id="2" name="現場／エリア"/>
    <tableColumn id="3" name="資材分類"/>
    <tableColumn id="4" name="資材名"/>
    <tableColumn id="5" name="仕様・型式"/>
    <tableColumn id="6" name="単位"/>
    <tableColumn id="7" name="計画数量"/>
    <tableColumn id="8" name="搬入済数量"/>
    <tableColumn id="9" name="未搬入数量"/>
    <tableColumn id="10" name="初回予定日"/>
    <tableColumn id="11" name="最終予定日"/>
    <tableColumn id="12" name="購買状態"/>
    <tableColumn id="13" name="依頼部門"/>
    <tableColumn id="14" name="担当者"/>
    <tableColumn id="15" name="備考"/>
  </tableColumns>
  <tableStyleInfo name="TableStyleMedium2" showRowStripes="1"/>
</table>
</file>

<file path=xl/tables/table3.xml><?xml version="1.0" encoding="utf-8"?>
<table xmlns="http://schemas.openxmlformats.org/spreadsheetml/2006/main" id="3" name="DeliveryLogTable" displayName="DeliveryLogTable" ref="A4:AG8" headerRowCount="1">
  <tableColumns count="33">
    <tableColumn id="1" name="伝票番号"/>
    <tableColumn id="2" name="業務シーン"/>
    <tableColumn id="3" name="現場／会社"/>
    <tableColumn id="4" name="工区／エリア"/>
    <tableColumn id="5" name="仕入先"/>
    <tableColumn id="6" name="資材分類"/>
    <tableColumn id="7" name="資材名"/>
    <tableColumn id="8" name="仕様・型式"/>
    <tableColumn id="9" name="ブランド／メーカー"/>
    <tableColumn id="10" name="単位"/>
    <tableColumn id="11" name="契約／注文番号"/>
    <tableColumn id="12" name="予定搬入日"/>
    <tableColumn id="13" name="実搬入日"/>
    <tableColumn id="14" name="車両番号／運転者"/>
    <tableColumn id="15" name="納品書番号"/>
    <tableColumn id="16" name="ロット／炉番号"/>
    <tableColumn id="17" name="計画数量"/>
    <tableColumn id="18" name="実受入数量"/>
    <tableColumn id="19" name="単価"/>
    <tableColumn id="20" name="金額"/>
    <tableColumn id="21" name="受入状態"/>
    <tableColumn id="22" name="書類状態"/>
    <tableColumn id="23" name="検査要いいえ"/>
    <tableColumn id="24" name="検査状態"/>
    <tableColumn id="25" name="入庫有無"/>
    <tableColumn id="26" name="入庫番号"/>
    <tableColumn id="27" name="保管場所"/>
    <tableColumn id="28" name="処理担当"/>
    <tableColumn id="29" name="受入担当"/>
    <tableColumn id="30" name="備考"/>
    <tableColumn id="31" name="遅延日数"/>
    <tableColumn id="32" name="不足数量"/>
    <tableColumn id="33" name="リスク表示"/>
  </tableColumns>
  <tableStyleInfo name="TableStyleMedium2" showRowStripes="1"/>
</table>
</file>

<file path=xl/tables/table4.xml><?xml version="1.0" encoding="utf-8"?>
<table xmlns="http://schemas.openxmlformats.org/spreadsheetml/2006/main" id="4" name="InspectionRecordTable" displayName="InspectionRecordTable" ref="A4:R7" headerRowCount="1">
  <tableColumns count="18">
    <tableColumn id="1" name="検査番号"/>
    <tableColumn id="2" name="関連伝票番号"/>
    <tableColumn id="3" name="資材名"/>
    <tableColumn id="4" name="サンプル番号"/>
    <tableColumn id="5" name="採取日"/>
    <tableColumn id="6" name="検査種別"/>
    <tableColumn id="7" name="検査機関"/>
    <tableColumn id="8" name="報告番号"/>
    <tableColumn id="9" name="報告日"/>
    <tableColumn id="10" name="検査結果"/>
    <tableColumn id="11" name="処置内容"/>
    <tableColumn id="12" name="責任者"/>
    <tableColumn id="13" name="期限"/>
    <tableColumn id="14" name="完了状態"/>
    <tableColumn id="15" name="添付／報告書パス"/>
    <tableColumn id="16" name="備考"/>
    <tableColumn id="17" name="遅延日数"/>
    <tableColumn id="18" name="リスク表示"/>
  </tableColumns>
  <tableStyleInfo name="TableStyleMedium2" showRowStripes="1"/>
</table>
</file>

<file path=xl/tables/table5.xml><?xml version="1.0" encoding="utf-8"?>
<table xmlns="http://schemas.openxmlformats.org/spreadsheetml/2006/main" id="5" name="IssueActionTable" displayName="IssueActionTable" ref="A4:R6" headerRowCount="1">
  <tableColumns count="18">
    <tableColumn id="1" name="問題番号"/>
    <tableColumn id="2" name="関連伝票／検査番号"/>
    <tableColumn id="3" name="問題発生元"/>
    <tableColumn id="4" name="問題種別"/>
    <tableColumn id="5" name="問題内容"/>
    <tableColumn id="6" name="重大度"/>
    <tableColumn id="7" name="責任先"/>
    <tableColumn id="8" name="責任者"/>
    <tableColumn id="9" name="発見日"/>
    <tableColumn id="10" name="改善期限"/>
    <tableColumn id="11" name="改善内容"/>
    <tableColumn id="12" name="改善状態"/>
    <tableColumn id="13" name="完了日"/>
    <tableColumn id="14" name="確認者"/>
    <tableColumn id="15" name="控除／損失"/>
    <tableColumn id="16" name="備考"/>
    <tableColumn id="17" name="遅延日数"/>
    <tableColumn id="18" name="リスク表示"/>
  </tableColumns>
  <tableStyleInfo name="TableStyleMedium2" showRowStripes="1"/>
</table>
</file>

<file path=xl/tables/table6.xml><?xml version="1.0" encoding="utf-8"?>
<table xmlns="http://schemas.openxmlformats.org/spreadsheetml/2006/main" id="6" name="InventoryMovementTable" displayName="InventoryMovementTable" ref="A4:P7" headerRowCount="1">
  <tableColumns count="16">
    <tableColumn id="1" name="履歴番号"/>
    <tableColumn id="2" name="関連伝票番号"/>
    <tableColumn id="3" name="業務種別"/>
    <tableColumn id="4" name="現場／倉庫"/>
    <tableColumn id="5" name="資材分類"/>
    <tableColumn id="6" name="資材名"/>
    <tableColumn id="7" name="仕様・型式"/>
    <tableColumn id="8" name="単位"/>
    <tableColumn id="9" name="数量"/>
    <tableColumn id="10" name="単価"/>
    <tableColumn id="11" name="金額"/>
    <tableColumn id="12" name="出所／行先"/>
    <tableColumn id="13" name="処理日"/>
    <tableColumn id="14" name="処理担当"/>
    <tableColumn id="15" name="承認者"/>
    <tableColumn id="16" name="備考"/>
  </tableColumns>
  <tableStyleInfo name="TableStyleMedium2" showRowStripes="1"/>
</table>
</file>

<file path=xl/tables/table7.xml><?xml version="1.0" encoding="utf-8"?>
<table xmlns="http://schemas.openxmlformats.org/spreadsheetml/2006/main" id="7" name="SupplierMasterTable" displayName="SupplierMasterTable" ref="A4:P8" headerRowCount="1">
  <tableColumns count="16">
    <tableColumn id="1" name="仕入先番号"/>
    <tableColumn id="2" name="仕入先名"/>
    <tableColumn id="3" name="主な資材分類"/>
    <tableColumn id="4" name="連絡先担当"/>
    <tableColumn id="5" name="電話"/>
    <tableColumn id="6" name="資格状態"/>
    <tableColumn id="7" name="資格期限"/>
    <tableColumn id="8" name="契約番号"/>
    <tableColumn id="9" name="評価"/>
    <tableColumn id="10" name="納期（日）"/>
    <tableColumn id="11" name="直近納入日"/>
    <tableColumn id="12" name="累計搬入ロット"/>
    <tableColumn id="13" name="不適合ロット"/>
    <tableColumn id="14" name="不適合率"/>
    <tableColumn id="15" name="備考"/>
    <tableColumn id="16" name="リスク表示"/>
  </tableColumns>
  <tableStyleInfo name="TableStyleMedium2" showRowStripes="1"/>
</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table" Target="/xl/tables/table1.xml" Id="rId1"/></Relationships>
</file>

<file path=xl/worksheets/_rels/sheet3.xml.rels><Relationships xmlns="http://schemas.openxmlformats.org/package/2006/relationships"><Relationship Type="http://schemas.openxmlformats.org/officeDocument/2006/relationships/drawing" Target="/xl/drawings/drawing1.xml" Id="rId1"/></Relationships>
</file>

<file path=xl/worksheets/_rels/sheet4.xml.rels><Relationships xmlns="http://schemas.openxmlformats.org/package/2006/relationships"><Relationship Type="http://schemas.openxmlformats.org/officeDocument/2006/relationships/table" Target="/xl/tables/table2.xml" Id="rId1"/></Relationships>
</file>

<file path=xl/worksheets/_rels/sheet5.xml.rels><Relationships xmlns="http://schemas.openxmlformats.org/package/2006/relationships"><Relationship Type="http://schemas.openxmlformats.org/officeDocument/2006/relationships/table" Target="/xl/tables/table3.xml" Id="rId1"/></Relationships>
</file>

<file path=xl/worksheets/_rels/sheet6.xml.rels><Relationships xmlns="http://schemas.openxmlformats.org/package/2006/relationships"><Relationship Type="http://schemas.openxmlformats.org/officeDocument/2006/relationships/table" Target="/xl/tables/table4.xml" Id="rId1"/></Relationships>
</file>

<file path=xl/worksheets/_rels/sheet7.xml.rels><Relationships xmlns="http://schemas.openxmlformats.org/package/2006/relationships"><Relationship Type="http://schemas.openxmlformats.org/officeDocument/2006/relationships/table" Target="/xl/tables/table5.xml" Id="rId1"/></Relationships>
</file>

<file path=xl/worksheets/_rels/sheet8.xml.rels><Relationships xmlns="http://schemas.openxmlformats.org/package/2006/relationships"><Relationship Type="http://schemas.openxmlformats.org/officeDocument/2006/relationships/table" Target="/xl/tables/table6.xml" Id="rId1"/></Relationships>
</file>

<file path=xl/worksheets/_rels/sheet9.xml.rels><Relationships xmlns="http://schemas.openxmlformats.org/package/2006/relationships"><Relationship Type="http://schemas.openxmlformats.org/officeDocument/2006/relationships/table" Target="/xl/tables/table7.xml" Id="rId1"/></Relationships>
</file>

<file path=xl/worksheets/sheet1.xml><?xml version="1.0" encoding="utf-8"?>
<worksheet xmlns="http://schemas.openxmlformats.org/spreadsheetml/2006/main">
  <sheetPr>
    <outlinePr summaryBelow="1" summaryRight="1"/>
    <pageSetUpPr/>
  </sheetPr>
  <dimension ref="A1:L22"/>
  <sheetViews>
    <sheetView tabSelected="1" workbookViewId="0">
      <selection activeCell="A1" sqref="A1"/>
    </sheetView>
  </sheetViews>
  <sheetFormatPr baseColWidth="8" defaultRowHeight="15"/>
  <cols>
    <col width="16" customWidth="1" style="124" min="1" max="1"/>
    <col width="24" customWidth="1" style="124" min="2" max="5"/>
    <col width="20" customWidth="1" style="124" min="6" max="12"/>
  </cols>
  <sheetData>
    <row r="1" ht="30" customHeight="1" s="124">
      <c r="A1" s="9" t="inlineStr">
        <is>
          <t>建設資材搬入管理テンプレート</t>
        </is>
      </c>
      <c r="B1" s="1" t="n"/>
      <c r="C1" s="1" t="n"/>
      <c r="D1" s="1" t="n"/>
      <c r="E1" s="1" t="n"/>
      <c r="F1" s="1" t="n"/>
      <c r="G1" s="1" t="n"/>
      <c r="H1" s="1" t="n"/>
      <c r="I1" s="1" t="n"/>
      <c r="J1" s="1" t="n"/>
      <c r="K1" s="1" t="n"/>
      <c r="L1" s="1" t="n"/>
    </row>
    <row r="2" ht="30" customHeight="1" s="124">
      <c r="A2" s="19" t="inlineStr">
        <is>
          <t>複数の会社、現場、工区、倉庫で使えるように設計しています。プルダウン、数式列、リスク表示、ダッシュボードで入力負担を抑えます。</t>
        </is>
      </c>
      <c r="B2" s="1" t="n"/>
      <c r="C2" s="1" t="n"/>
      <c r="D2" s="1" t="n"/>
      <c r="E2" s="1" t="n"/>
      <c r="F2" s="1" t="n"/>
      <c r="G2" s="1" t="n"/>
      <c r="H2" s="1" t="n"/>
      <c r="I2" s="1" t="n"/>
      <c r="J2" s="1" t="n"/>
      <c r="K2" s="1" t="n"/>
      <c r="L2" s="1" t="n"/>
    </row>
    <row r="3">
      <c r="A3" s="116" t="n"/>
      <c r="B3" s="116" t="n"/>
      <c r="C3" s="116" t="n"/>
      <c r="D3" s="116" t="n"/>
      <c r="E3" s="116" t="n"/>
      <c r="F3" s="116" t="n"/>
      <c r="G3" s="116" t="n"/>
      <c r="H3" s="116" t="n"/>
      <c r="I3" s="116" t="n"/>
      <c r="J3" s="116" t="n"/>
      <c r="K3" s="116" t="n"/>
      <c r="L3" s="116" t="n"/>
    </row>
    <row r="4" ht="36" customHeight="1" s="124">
      <c r="A4" s="31" t="inlineStr">
        <is>
          <t>テンプレートのねらい</t>
        </is>
      </c>
      <c r="B4" s="119" t="inlineStr">
        <is>
          <t>購買計画、資材搬入、受入検査、不適合改善、入庫・返却、仕入先追跡、管理ダッシュボードまでを一つの流れで管理します。</t>
        </is>
      </c>
      <c r="C4" s="1" t="n"/>
      <c r="D4" s="1" t="n"/>
      <c r="E4" s="1" t="n"/>
      <c r="F4" s="1" t="n"/>
      <c r="G4" s="1" t="n"/>
      <c r="H4" s="1" t="n"/>
      <c r="I4" s="1" t="n"/>
      <c r="J4" s="1" t="n"/>
      <c r="K4" s="1" t="n"/>
      <c r="L4" s="1" t="n"/>
    </row>
    <row r="5" ht="36" customHeight="1" s="124">
      <c r="A5" s="31" t="inlineStr">
        <is>
          <t>利用対象</t>
        </is>
      </c>
      <c r="B5" s="119" t="inlineStr">
        <is>
          <t>発注者、元請、協力会社、現場事務所、資材担当、倉庫、品質管理、監理者が共同で使えます。特定の会社名には依存しません。</t>
        </is>
      </c>
      <c r="C5" s="1" t="n"/>
      <c r="D5" s="1" t="n"/>
      <c r="E5" s="1" t="n"/>
      <c r="F5" s="1" t="n"/>
      <c r="G5" s="1" t="n"/>
      <c r="H5" s="1" t="n"/>
      <c r="I5" s="1" t="n"/>
      <c r="J5" s="1" t="n"/>
      <c r="K5" s="1" t="n"/>
      <c r="L5" s="1" t="n"/>
    </row>
    <row r="6" ht="36" customHeight="1" s="124">
      <c r="A6" s="31" t="inlineStr">
        <is>
          <t>対象業務</t>
        </is>
      </c>
      <c r="B6" s="119" t="inlineStr">
        <is>
          <t>予定搬入、臨時・緊急購買、分納、サンプル搬入、返品交換、振替搬入、現場再検査、第三者検査、不適合改善、返却、直接使用、倉庫入庫・払出に対応します。</t>
        </is>
      </c>
      <c r="C6" s="1" t="n"/>
      <c r="D6" s="1" t="n"/>
      <c r="E6" s="1" t="n"/>
      <c r="F6" s="1" t="n"/>
      <c r="G6" s="1" t="n"/>
      <c r="H6" s="1" t="n"/>
      <c r="I6" s="1" t="n"/>
      <c r="J6" s="1" t="n"/>
      <c r="K6" s="1" t="n"/>
      <c r="L6" s="1" t="n"/>
    </row>
    <row r="7" ht="36" customHeight="1" s="124">
      <c r="A7" s="31" t="inlineStr">
        <is>
          <t>使い方</t>
        </is>
      </c>
      <c r="B7" s="119" t="inlineStr">
        <is>
          <t>1）まず「辞書設定」でプルダウン候補を整えます。2）「購買計画」に必要数量を入力します。3）搬入ごとに「搬入台帳」へ1行追加します。4）検査が必要な場合は「検査記録」と紐づけます。5）問題は「改善管理台帳」で追跡します。6）入庫・返却・払出は「在庫履歴」に記録します。7）最後に「ダッシュボード」で状況を確認します。</t>
        </is>
      </c>
      <c r="C7" s="1" t="n"/>
      <c r="D7" s="1" t="n"/>
      <c r="E7" s="1" t="n"/>
      <c r="F7" s="1" t="n"/>
      <c r="G7" s="1" t="n"/>
      <c r="H7" s="1" t="n"/>
      <c r="I7" s="1" t="n"/>
      <c r="J7" s="1" t="n"/>
      <c r="K7" s="1" t="n"/>
      <c r="L7" s="1" t="n"/>
    </row>
    <row r="8" ht="36" customHeight="1" s="124">
      <c r="A8" s="31" t="inlineStr">
        <is>
          <t>色の意味</t>
        </is>
      </c>
      <c r="B8" s="119" t="inlineStr">
        <is>
          <t>濃色の見出しは固定項目です。淡い青は入力ガイド、赤系はリスクや期限超過、緑は合格、黄は対応待ちを示します。</t>
        </is>
      </c>
      <c r="C8" s="1" t="n"/>
      <c r="D8" s="1" t="n"/>
      <c r="E8" s="1" t="n"/>
      <c r="F8" s="1" t="n"/>
      <c r="G8" s="1" t="n"/>
      <c r="H8" s="1" t="n"/>
      <c r="I8" s="1" t="n"/>
      <c r="J8" s="1" t="n"/>
      <c r="K8" s="1" t="n"/>
      <c r="L8" s="1" t="n"/>
    </row>
    <row r="9" ht="36" customHeight="1" s="124">
      <c r="A9" s="31" t="inlineStr">
        <is>
          <t>使いやすさの設計</t>
        </is>
      </c>
      <c r="B9" s="119" t="inlineStr">
        <is>
          <t>主要項目にはプルダウンを設定しています。金額、期限超過、不足、進捗、リスク表示は自動計算されます。各表にはフィルターがあり、ダッシュボードは先頭500行を集計します。必要に応じて範囲を拡張できます。</t>
        </is>
      </c>
      <c r="C9" s="1" t="n"/>
      <c r="D9" s="1" t="n"/>
      <c r="E9" s="1" t="n"/>
      <c r="F9" s="1" t="n"/>
      <c r="G9" s="1" t="n"/>
      <c r="H9" s="1" t="n"/>
      <c r="I9" s="1" t="n"/>
      <c r="J9" s="1" t="n"/>
      <c r="K9" s="1" t="n"/>
      <c r="L9" s="1" t="n"/>
    </row>
    <row r="10" ht="36" customHeight="1" s="124">
      <c r="A10" s="31" t="inlineStr">
        <is>
          <t>数式列</t>
        </is>
      </c>
      <c r="B10" s="119" t="inlineStr">
        <is>
          <t>自動数式が入っている列は手入力で上書きしないでください。番号、金額、遅延日数、不足数量、リスク表示、搬入済数量、不適合率などが該当します。</t>
        </is>
      </c>
      <c r="C10" s="1" t="n"/>
      <c r="D10" s="1" t="n"/>
      <c r="E10" s="1" t="n"/>
      <c r="F10" s="1" t="n"/>
      <c r="G10" s="1" t="n"/>
      <c r="H10" s="1" t="n"/>
      <c r="I10" s="1" t="n"/>
      <c r="J10" s="1" t="n"/>
      <c r="K10" s="1" t="n"/>
      <c r="L10" s="1" t="n"/>
    </row>
    <row r="11" ht="36" customHeight="1" s="124">
      <c r="A11" s="31" t="inlineStr">
        <is>
          <t>参考リンク</t>
        </is>
      </c>
      <c r="B11" s="119" t="inlineStr">
        <is>
          <t>http://localhost:2020/excel-templates/construction/material-delivery-log/</t>
        </is>
      </c>
      <c r="C11" s="1" t="n"/>
      <c r="D11" s="1" t="n"/>
      <c r="E11" s="1" t="n"/>
      <c r="F11" s="1" t="n"/>
      <c r="G11" s="1" t="n"/>
      <c r="H11" s="1" t="n"/>
      <c r="I11" s="1" t="n"/>
      <c r="J11" s="1" t="n"/>
      <c r="K11" s="1" t="n"/>
      <c r="L11" s="1" t="n"/>
    </row>
    <row r="12">
      <c r="A12" s="116" t="n"/>
      <c r="B12" s="116" t="n"/>
      <c r="C12" s="116" t="n"/>
      <c r="D12" s="116" t="n"/>
      <c r="E12" s="116" t="n"/>
      <c r="F12" s="116" t="n"/>
      <c r="G12" s="116" t="n"/>
      <c r="H12" s="116" t="n"/>
      <c r="I12" s="116" t="n"/>
      <c r="J12" s="116" t="n"/>
      <c r="K12" s="116" t="n"/>
      <c r="L12" s="116" t="n"/>
    </row>
    <row r="13">
      <c r="A13" s="116" t="n"/>
      <c r="B13" s="116" t="n"/>
      <c r="C13" s="116" t="n"/>
      <c r="D13" s="116" t="n"/>
      <c r="E13" s="116" t="n"/>
      <c r="F13" s="116" t="n"/>
      <c r="G13" s="116" t="n"/>
      <c r="H13" s="116" t="n"/>
      <c r="I13" s="116" t="n"/>
      <c r="J13" s="116" t="n"/>
      <c r="K13" s="116" t="n"/>
      <c r="L13" s="116" t="n"/>
    </row>
    <row r="14" ht="28" customHeight="1" s="124">
      <c r="A14" s="31" t="inlineStr">
        <is>
          <t>業務工程</t>
        </is>
      </c>
      <c r="B14" s="31" t="inlineStr">
        <is>
          <t>推奨入力シート</t>
        </is>
      </c>
      <c r="C14" s="31" t="inlineStr">
        <is>
          <t>重点確認事項</t>
        </is>
      </c>
      <c r="D14" s="31" t="inlineStr">
        <is>
          <t>主な出力</t>
        </is>
      </c>
      <c r="E14" s="116" t="n"/>
      <c r="F14" s="116" t="n"/>
      <c r="G14" s="116" t="n"/>
      <c r="H14" s="116" t="n"/>
      <c r="I14" s="116" t="n"/>
      <c r="J14" s="116" t="n"/>
      <c r="K14" s="116" t="n"/>
      <c r="L14" s="116" t="n"/>
    </row>
    <row r="15" ht="28" customHeight="1" s="124">
      <c r="A15" s="50" t="inlineStr">
        <is>
          <t>購買・需要計画</t>
        </is>
      </c>
      <c r="B15" s="50" t="inlineStr">
        <is>
          <t>購買計画</t>
        </is>
      </c>
      <c r="C15" s="50" t="inlineStr">
        <is>
          <t>計画数量、初回・最終日、担当者、購買状態</t>
        </is>
      </c>
      <c r="D15" s="50" t="inlineStr">
        <is>
          <t>未搬入数量、ギャップ項目</t>
        </is>
      </c>
      <c r="E15" s="116" t="n"/>
      <c r="F15" s="116" t="n"/>
      <c r="G15" s="116" t="n"/>
      <c r="H15" s="116" t="n"/>
      <c r="I15" s="116" t="n"/>
      <c r="J15" s="116" t="n"/>
      <c r="K15" s="116" t="n"/>
      <c r="L15" s="116" t="n"/>
    </row>
    <row r="16" ht="28" customHeight="1" s="124">
      <c r="A16" s="50" t="inlineStr">
        <is>
          <t>資材到着</t>
        </is>
      </c>
      <c r="B16" s="50" t="inlineStr">
        <is>
          <t>搬入台帳</t>
        </is>
      </c>
      <c r="C16" s="50" t="inlineStr">
        <is>
          <t>仕入先、ロット、納品書、数量、書類、受入、検査要いいえ</t>
        </is>
      </c>
      <c r="D16" s="50" t="inlineStr">
        <is>
          <t>金額、遅延、不足、リスク表示</t>
        </is>
      </c>
      <c r="E16" s="116" t="n"/>
      <c r="F16" s="116" t="n"/>
      <c r="G16" s="116" t="n"/>
      <c r="H16" s="116" t="n"/>
      <c r="I16" s="116" t="n"/>
      <c r="J16" s="116" t="n"/>
      <c r="K16" s="116" t="n"/>
      <c r="L16" s="116" t="n"/>
    </row>
    <row r="17" ht="28" customHeight="1" s="124">
      <c r="A17" s="50" t="inlineStr">
        <is>
          <t>品質検査</t>
        </is>
      </c>
      <c r="B17" s="50" t="inlineStr">
        <is>
          <t>検査記録</t>
        </is>
      </c>
      <c r="C17" s="50" t="inlineStr">
        <is>
          <t>採取、検査種別、機関、報告番号、結果、完了状態</t>
        </is>
      </c>
      <c r="D17" s="50" t="inlineStr">
        <is>
          <t>検査リスク・改善追跡</t>
        </is>
      </c>
      <c r="E17" s="116" t="n"/>
      <c r="F17" s="116" t="n"/>
      <c r="G17" s="116" t="n"/>
      <c r="H17" s="116" t="n"/>
      <c r="I17" s="116" t="n"/>
      <c r="J17" s="116" t="n"/>
      <c r="K17" s="116" t="n"/>
      <c r="L17" s="116" t="n"/>
    </row>
    <row r="18" ht="28" customHeight="1" s="124">
      <c r="A18" s="50" t="inlineStr">
        <is>
          <t>異常対応</t>
        </is>
      </c>
      <c r="B18" s="50" t="inlineStr">
        <is>
          <t>改善管理台帳</t>
        </is>
      </c>
      <c r="C18" s="50" t="inlineStr">
        <is>
          <t>問題発生元、重大度、責任先、改善期限、完了確認</t>
        </is>
      </c>
      <c r="D18" s="50" t="inlineStr">
        <is>
          <t>改善遅延・控除／損失</t>
        </is>
      </c>
      <c r="E18" s="116" t="n"/>
      <c r="F18" s="116" t="n"/>
      <c r="G18" s="116" t="n"/>
      <c r="H18" s="116" t="n"/>
      <c r="I18" s="116" t="n"/>
      <c r="J18" s="116" t="n"/>
      <c r="K18" s="116" t="n"/>
      <c r="L18" s="116" t="n"/>
    </row>
    <row r="19" ht="28" customHeight="1" s="124">
      <c r="A19" s="50" t="inlineStr">
        <is>
          <t>倉庫・現場移動</t>
        </is>
      </c>
      <c r="B19" s="50" t="inlineStr">
        <is>
          <t>在庫履歴</t>
        </is>
      </c>
      <c r="C19" s="50" t="inlineStr">
        <is>
          <t>入庫、返却、振替、払出、直接使用</t>
        </is>
      </c>
      <c r="D19" s="50" t="inlineStr">
        <is>
          <t>在庫金額と流向本拠</t>
        </is>
      </c>
      <c r="E19" s="116" t="n"/>
      <c r="F19" s="116" t="n"/>
      <c r="G19" s="116" t="n"/>
      <c r="H19" s="116" t="n"/>
      <c r="I19" s="116" t="n"/>
      <c r="J19" s="116" t="n"/>
      <c r="K19" s="116" t="n"/>
      <c r="L19" s="116" t="n"/>
    </row>
    <row r="20" ht="28" customHeight="1" s="124">
      <c r="A20" s="50" t="inlineStr">
        <is>
          <t>仕入先管理</t>
        </is>
      </c>
      <c r="B20" s="50" t="inlineStr">
        <is>
          <t>仕入先情報</t>
        </is>
      </c>
      <c r="C20" s="50" t="inlineStr">
        <is>
          <t>資格期限、評価、納期、不適合率</t>
        </is>
      </c>
      <c r="D20" s="50" t="inlineStr">
        <is>
          <t>資格リスク・仕入先実績</t>
        </is>
      </c>
      <c r="E20" s="116" t="n"/>
      <c r="F20" s="116" t="n"/>
      <c r="G20" s="116" t="n"/>
      <c r="H20" s="116" t="n"/>
      <c r="I20" s="116" t="n"/>
      <c r="J20" s="116" t="n"/>
      <c r="K20" s="116" t="n"/>
      <c r="L20" s="116" t="n"/>
    </row>
    <row r="21">
      <c r="A21" s="116" t="n"/>
      <c r="B21" s="116" t="n"/>
      <c r="C21" s="116" t="n"/>
      <c r="D21" s="116" t="n"/>
      <c r="E21" s="116" t="n"/>
      <c r="F21" s="116" t="n"/>
      <c r="G21" s="116" t="n"/>
      <c r="H21" s="116" t="n"/>
      <c r="I21" s="116" t="n"/>
      <c r="J21" s="116" t="n"/>
      <c r="K21" s="116" t="n"/>
      <c r="L21" s="116" t="n"/>
    </row>
    <row r="22">
      <c r="A22" s="116" t="n"/>
      <c r="B22" s="116" t="n"/>
      <c r="C22" s="116" t="n"/>
      <c r="D22" s="116" t="n"/>
      <c r="E22" s="116" t="n"/>
      <c r="F22" s="116" t="n"/>
      <c r="G22" s="116" t="n"/>
      <c r="H22" s="116" t="n"/>
      <c r="I22" s="116" t="n"/>
      <c r="J22" s="116" t="n"/>
      <c r="K22" s="116" t="n"/>
      <c r="L22" s="116" t="n"/>
    </row>
  </sheetData>
  <mergeCells count="10">
    <mergeCell ref="B4:L4"/>
    <mergeCell ref="A2:L2"/>
    <mergeCell ref="B6:L6"/>
    <mergeCell ref="B7:L7"/>
    <mergeCell ref="A1:L1"/>
    <mergeCell ref="B11:L11"/>
    <mergeCell ref="B5:L5"/>
    <mergeCell ref="B10:L10"/>
    <mergeCell ref="B9:L9"/>
    <mergeCell ref="B8:L8"/>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T18"/>
  <sheetViews>
    <sheetView workbookViewId="0">
      <selection activeCell="A1" sqref="A1"/>
    </sheetView>
  </sheetViews>
  <sheetFormatPr baseColWidth="8" defaultRowHeight="15"/>
  <cols>
    <col width="16" customWidth="1" style="124" min="1" max="20"/>
  </cols>
  <sheetData>
    <row r="1" ht="30" customHeight="1" s="124">
      <c r="A1" s="9" t="inlineStr">
        <is>
          <t>辞書設定／プルダウン候補管理</t>
        </is>
      </c>
      <c r="B1" s="1" t="n"/>
      <c r="C1" s="1" t="n"/>
      <c r="D1" s="1" t="n"/>
      <c r="E1" s="1" t="n"/>
      <c r="F1" s="1" t="n"/>
      <c r="G1" s="1" t="n"/>
      <c r="H1" s="1" t="n"/>
      <c r="I1" s="1" t="n"/>
      <c r="J1" s="1" t="n"/>
      <c r="K1" s="1" t="n"/>
      <c r="L1" s="1" t="n"/>
      <c r="M1" s="1" t="n"/>
      <c r="N1" s="1" t="n"/>
      <c r="O1" s="1" t="n"/>
      <c r="P1" s="1" t="n"/>
      <c r="Q1" s="1" t="n"/>
      <c r="R1" s="1" t="n"/>
      <c r="S1" s="1" t="n"/>
      <c r="T1" s="1" t="n"/>
    </row>
    <row r="2" ht="30" customHeight="1" s="124">
      <c r="A2" s="19" t="inlineStr">
        <is>
          <t>社内ルールに合わせて候補を追加・削除できます。変更後はデータ入力規則の範囲も合わせて調整するか、既存リストの末尾に追記してください。</t>
        </is>
      </c>
      <c r="B2" s="1" t="n"/>
      <c r="C2" s="1" t="n"/>
      <c r="D2" s="1" t="n"/>
      <c r="E2" s="1" t="n"/>
      <c r="F2" s="1" t="n"/>
      <c r="G2" s="1" t="n"/>
      <c r="H2" s="1" t="n"/>
      <c r="I2" s="1" t="n"/>
      <c r="J2" s="1" t="n"/>
      <c r="K2" s="1" t="n"/>
      <c r="L2" s="1" t="n"/>
      <c r="M2" s="1" t="n"/>
      <c r="N2" s="1" t="n"/>
      <c r="O2" s="1" t="n"/>
      <c r="P2" s="1" t="n"/>
      <c r="Q2" s="1" t="n"/>
      <c r="R2" s="1" t="n"/>
      <c r="S2" s="1" t="n"/>
      <c r="T2" s="1" t="n"/>
    </row>
    <row r="3">
      <c r="A3" s="116" t="n"/>
      <c r="B3" s="116" t="n"/>
      <c r="C3" s="116" t="n"/>
      <c r="D3" s="116" t="n"/>
      <c r="E3" s="116" t="n"/>
      <c r="F3" s="116" t="n"/>
      <c r="G3" s="116" t="n"/>
      <c r="H3" s="116" t="n"/>
      <c r="I3" s="116" t="n"/>
      <c r="J3" s="116" t="n"/>
      <c r="K3" s="116" t="n"/>
      <c r="L3" s="116" t="n"/>
      <c r="M3" s="116" t="n"/>
      <c r="N3" s="116" t="n"/>
      <c r="O3" s="116" t="n"/>
      <c r="P3" s="116" t="n"/>
      <c r="Q3" s="116" t="n"/>
      <c r="R3" s="116" t="n"/>
      <c r="S3" s="116" t="n"/>
      <c r="T3" s="116" t="n"/>
    </row>
    <row r="4" ht="28" customHeight="1" s="124">
      <c r="A4" s="31" t="inlineStr">
        <is>
          <t>業務シーン</t>
        </is>
      </c>
      <c r="B4" s="31" t="inlineStr">
        <is>
          <t>資材分類</t>
        </is>
      </c>
      <c r="C4" s="31" t="inlineStr">
        <is>
          <t>単位</t>
        </is>
      </c>
      <c r="D4" s="31" t="inlineStr">
        <is>
          <t>受入状態</t>
        </is>
      </c>
      <c r="E4" s="31" t="inlineStr">
        <is>
          <t>書類状態</t>
        </is>
      </c>
      <c r="F4" s="31" t="inlineStr">
        <is>
          <t>検査要いいえ</t>
        </is>
      </c>
      <c r="G4" s="31" t="inlineStr">
        <is>
          <t>検査状態</t>
        </is>
      </c>
      <c r="H4" s="31" t="inlineStr">
        <is>
          <t>入庫有無</t>
        </is>
      </c>
      <c r="I4" s="31" t="inlineStr">
        <is>
          <t>現場／倉庫</t>
        </is>
      </c>
      <c r="J4" s="31" t="inlineStr">
        <is>
          <t>エリア／工区</t>
        </is>
      </c>
      <c r="K4" s="31" t="inlineStr">
        <is>
          <t>担当者／役割</t>
        </is>
      </c>
      <c r="L4" s="31" t="inlineStr">
        <is>
          <t>問題発生元</t>
        </is>
      </c>
      <c r="M4" s="31" t="inlineStr">
        <is>
          <t>問題種別</t>
        </is>
      </c>
      <c r="N4" s="31" t="inlineStr">
        <is>
          <t>重大度</t>
        </is>
      </c>
      <c r="O4" s="31" t="inlineStr">
        <is>
          <t>改善状態</t>
        </is>
      </c>
      <c r="P4" s="31" t="inlineStr">
        <is>
          <t>在庫業務種別</t>
        </is>
      </c>
      <c r="Q4" s="31" t="inlineStr">
        <is>
          <t>購買状態</t>
        </is>
      </c>
      <c r="R4" s="31" t="inlineStr">
        <is>
          <t>検査結果</t>
        </is>
      </c>
      <c r="S4" s="31" t="inlineStr">
        <is>
          <t>仕入先資格状態</t>
        </is>
      </c>
      <c r="T4" s="31" t="inlineStr">
        <is>
          <t>仕入先評価</t>
        </is>
      </c>
    </row>
    <row r="5">
      <c r="A5" s="50" t="inlineStr">
        <is>
          <t>予定搬入</t>
        </is>
      </c>
      <c r="B5" s="50" t="inlineStr">
        <is>
          <t>鉄筋</t>
        </is>
      </c>
      <c r="C5" s="50" t="inlineStr">
        <is>
          <t>トン</t>
        </is>
      </c>
      <c r="D5" s="50" t="inlineStr">
        <is>
          <t>受入待ち</t>
        </is>
      </c>
      <c r="E5" s="50" t="inlineStr">
        <is>
          <t>完備</t>
        </is>
      </c>
      <c r="F5" s="50" t="inlineStr">
        <is>
          <t>検査免除</t>
        </is>
      </c>
      <c r="G5" s="50" t="inlineStr">
        <is>
          <t>不要</t>
        </is>
      </c>
      <c r="H5" s="50" t="inlineStr">
        <is>
          <t>はい</t>
        </is>
      </c>
      <c r="I5" s="50" t="inlineStr">
        <is>
          <t>A現場</t>
        </is>
      </c>
      <c r="J5" s="50" t="inlineStr">
        <is>
          <t>第1工区</t>
        </is>
      </c>
      <c r="K5" s="50" t="inlineStr">
        <is>
          <t>資材担当</t>
        </is>
      </c>
      <c r="L5" s="50" t="inlineStr">
        <is>
          <t>搬入受入</t>
        </is>
      </c>
      <c r="M5" s="50" t="inlineStr">
        <is>
          <t>数量不足</t>
        </is>
      </c>
      <c r="N5" s="50" t="inlineStr">
        <is>
          <t>低</t>
        </is>
      </c>
      <c r="O5" s="50" t="inlineStr">
        <is>
          <t>未開始</t>
        </is>
      </c>
      <c r="P5" s="50" t="inlineStr">
        <is>
          <t>入庫</t>
        </is>
      </c>
      <c r="Q5" s="50" t="inlineStr">
        <is>
          <t>未購買</t>
        </is>
      </c>
      <c r="R5" s="50" t="inlineStr">
        <is>
          <t>報告待ち</t>
        </is>
      </c>
      <c r="S5" s="50" t="inlineStr">
        <is>
          <t>有効</t>
        </is>
      </c>
      <c r="T5" s="50" t="inlineStr">
        <is>
          <t>A</t>
        </is>
      </c>
    </row>
    <row r="6">
      <c r="A6" s="50" t="inlineStr">
        <is>
          <t>臨時搬入</t>
        </is>
      </c>
      <c r="B6" s="50" t="inlineStr">
        <is>
          <t>生コン</t>
        </is>
      </c>
      <c r="C6" s="50" t="inlineStr">
        <is>
          <t>kg</t>
        </is>
      </c>
      <c r="D6" s="50" t="inlineStr">
        <is>
          <t>合格</t>
        </is>
      </c>
      <c r="E6" s="50" t="inlineStr">
        <is>
          <t>要補足</t>
        </is>
      </c>
      <c r="F6" s="50" t="inlineStr">
        <is>
          <t>立会い採取</t>
        </is>
      </c>
      <c r="G6" s="50" t="inlineStr">
        <is>
          <t>検査待ち</t>
        </is>
      </c>
      <c r="H6" s="50" t="inlineStr">
        <is>
          <t>いいえ</t>
        </is>
      </c>
      <c r="I6" s="50" t="inlineStr">
        <is>
          <t>B現場</t>
        </is>
      </c>
      <c r="J6" s="50" t="inlineStr">
        <is>
          <t>第2工区</t>
        </is>
      </c>
      <c r="K6" s="50" t="inlineStr">
        <is>
          <t>品質担当</t>
        </is>
      </c>
      <c r="L6" s="50" t="inlineStr">
        <is>
          <t>書類確認</t>
        </is>
      </c>
      <c r="M6" s="50" t="inlineStr">
        <is>
          <t>仕様不一致</t>
        </is>
      </c>
      <c r="N6" s="50" t="inlineStr">
        <is>
          <t>中</t>
        </is>
      </c>
      <c r="O6" s="50" t="inlineStr">
        <is>
          <t>改善中</t>
        </is>
      </c>
      <c r="P6" s="50" t="inlineStr">
        <is>
          <t>返却</t>
        </is>
      </c>
      <c r="Q6" s="50" t="inlineStr">
        <is>
          <t>見積中</t>
        </is>
      </c>
      <c r="R6" s="50" t="inlineStr">
        <is>
          <t>合格</t>
        </is>
      </c>
      <c r="S6" s="50" t="inlineStr">
        <is>
          <t>まもなく期限</t>
        </is>
      </c>
      <c r="T6" s="50" t="inlineStr">
        <is>
          <t>B</t>
        </is>
      </c>
    </row>
    <row r="7">
      <c r="A7" s="50" t="inlineStr">
        <is>
          <t>追納搬入</t>
        </is>
      </c>
      <c r="B7" s="50" t="inlineStr">
        <is>
          <t>セメント</t>
        </is>
      </c>
      <c r="C7" s="50" t="inlineStr">
        <is>
          <t>m3</t>
        </is>
      </c>
      <c r="D7" s="50" t="inlineStr">
        <is>
          <t>一部受入</t>
        </is>
      </c>
      <c r="E7" s="50" t="inlineStr">
        <is>
          <t>不足</t>
        </is>
      </c>
      <c r="F7" s="50" t="inlineStr">
        <is>
          <t>第三者検査へ送付</t>
        </is>
      </c>
      <c r="G7" s="50" t="inlineStr">
        <is>
          <t>検査中</t>
        </is>
      </c>
      <c r="H7" s="50" t="inlineStr">
        <is>
          <t>一部</t>
        </is>
      </c>
      <c r="I7" s="50" t="inlineStr">
        <is>
          <t>C現場</t>
        </is>
      </c>
      <c r="J7" s="50" t="inlineStr">
        <is>
          <t>地下階</t>
        </is>
      </c>
      <c r="K7" s="50" t="inlineStr">
        <is>
          <t>倉庫担当</t>
        </is>
      </c>
      <c r="L7" s="50" t="inlineStr">
        <is>
          <t>現場再検査</t>
        </is>
      </c>
      <c r="M7" s="50" t="inlineStr">
        <is>
          <t>書類不足</t>
        </is>
      </c>
      <c r="N7" s="50" t="inlineStr">
        <is>
          <t>高</t>
        </is>
      </c>
      <c r="O7" s="50" t="inlineStr">
        <is>
          <t>確認待ちちち</t>
        </is>
      </c>
      <c r="P7" s="50" t="inlineStr">
        <is>
          <t>振替</t>
        </is>
      </c>
      <c r="Q7" s="50" t="inlineStr">
        <is>
          <t>発注済み</t>
        </is>
      </c>
      <c r="R7" s="50" t="inlineStr">
        <is>
          <t>不適合</t>
        </is>
      </c>
      <c r="S7" s="50" t="inlineStr">
        <is>
          <t>期限切れ</t>
        </is>
      </c>
      <c r="T7" s="50" t="inlineStr">
        <is>
          <t>C</t>
        </is>
      </c>
    </row>
    <row r="8">
      <c r="A8" s="50" t="inlineStr">
        <is>
          <t>返品交換搬入</t>
        </is>
      </c>
      <c r="B8" s="50" t="inlineStr">
        <is>
          <t>砂利・砂</t>
        </is>
      </c>
      <c r="C8" s="50" t="inlineStr">
        <is>
          <t>m2</t>
        </is>
      </c>
      <c r="D8" s="50" t="inlineStr">
        <is>
          <t>不適合</t>
        </is>
      </c>
      <c r="E8" s="50" t="inlineStr">
        <is>
          <t>対象外</t>
        </is>
      </c>
      <c r="F8" s="50" t="inlineStr">
        <is>
          <t>現場再検査</t>
        </is>
      </c>
      <c r="G8" s="50" t="inlineStr">
        <is>
          <t>合格</t>
        </is>
      </c>
      <c r="H8" s="50" t="inlineStr">
        <is>
          <t>直接使用</t>
        </is>
      </c>
      <c r="I8" s="50" t="inlineStr">
        <is>
          <t>中央倉庫</t>
        </is>
      </c>
      <c r="J8" s="50" t="inlineStr">
        <is>
          <t>躯体工事</t>
        </is>
      </c>
      <c r="K8" s="50" t="inlineStr">
        <is>
          <t>現場所長</t>
        </is>
      </c>
      <c r="L8" s="50" t="inlineStr">
        <is>
          <t>第三者検査</t>
        </is>
      </c>
      <c r="M8" s="50" t="inlineStr">
        <is>
          <t>品質不適合</t>
        </is>
      </c>
      <c r="N8" s="50" t="inlineStr">
        <is>
          <t>重大</t>
        </is>
      </c>
      <c r="O8" s="50" t="inlineStr">
        <is>
          <t>完了</t>
        </is>
      </c>
      <c r="P8" s="50" t="inlineStr">
        <is>
          <t>払出</t>
        </is>
      </c>
      <c r="Q8" s="50" t="inlineStr">
        <is>
          <t>一部入荷</t>
        </is>
      </c>
      <c r="R8" s="50" t="inlineStr">
        <is>
          <t>対象外</t>
        </is>
      </c>
      <c r="S8" s="50" t="inlineStr">
        <is>
          <t>要補足</t>
        </is>
      </c>
      <c r="T8" s="50" t="inlineStr">
        <is>
          <t>D</t>
        </is>
      </c>
    </row>
    <row r="9">
      <c r="A9" s="50" t="inlineStr">
        <is>
          <t>サンプル搬入</t>
        </is>
      </c>
      <c r="B9" s="50" t="inlineStr">
        <is>
          <t>組積材</t>
        </is>
      </c>
      <c r="C9" s="50" t="inlineStr">
        <is>
          <t>m</t>
        </is>
      </c>
      <c r="D9" s="50" t="inlineStr">
        <is>
          <t>返却／受入拒いいえ</t>
        </is>
      </c>
      <c r="E9" s="50" t="n"/>
      <c r="F9" s="50" t="inlineStr">
        <is>
          <t>型式検査</t>
        </is>
      </c>
      <c r="G9" s="50" t="inlineStr">
        <is>
          <t>不適合</t>
        </is>
      </c>
      <c r="H9" s="50" t="inlineStr">
        <is>
          <t>返却</t>
        </is>
      </c>
      <c r="I9" s="50" t="inlineStr">
        <is>
          <t>第1工区倉庫</t>
        </is>
      </c>
      <c r="J9" s="50" t="inlineStr">
        <is>
          <t>内装工事</t>
        </is>
      </c>
      <c r="K9" s="50" t="inlineStr">
        <is>
          <t>購買担当</t>
        </is>
      </c>
      <c r="L9" s="50" t="inlineStr">
        <is>
          <t>監理巡回</t>
        </is>
      </c>
      <c r="M9" s="50" t="inlineStr">
        <is>
          <t>梱包破損</t>
        </is>
      </c>
      <c r="N9" s="50" t="n"/>
      <c r="O9" s="50" t="inlineStr">
        <is>
          <t>改善不要</t>
        </is>
      </c>
      <c r="P9" s="50" t="inlineStr">
        <is>
          <t>棚卸調整</t>
        </is>
      </c>
      <c r="Q9" s="50" t="inlineStr">
        <is>
          <t>完了</t>
        </is>
      </c>
      <c r="R9" s="50" t="n"/>
      <c r="S9" s="50" t="inlineStr">
        <is>
          <t>取引停止</t>
        </is>
      </c>
      <c r="T9" s="50" t="inlineStr">
        <is>
          <t>観察</t>
        </is>
      </c>
    </row>
    <row r="10">
      <c r="A10" s="50" t="inlineStr">
        <is>
          <t>振替搬入</t>
        </is>
      </c>
      <c r="B10" s="50" t="inlineStr">
        <is>
          <t>防水材</t>
        </is>
      </c>
      <c r="C10" s="50" t="inlineStr">
        <is>
          <t>本</t>
        </is>
      </c>
      <c r="D10" s="50" t="n"/>
      <c r="E10" s="50" t="n"/>
      <c r="F10" s="50" t="n"/>
      <c r="G10" s="50" t="inlineStr">
        <is>
          <t>報告書保管待ち</t>
        </is>
      </c>
      <c r="H10" s="50" t="n"/>
      <c r="I10" s="50" t="inlineStr">
        <is>
          <t>第2工区倉庫</t>
        </is>
      </c>
      <c r="J10" s="50" t="inlineStr">
        <is>
          <t>設備工事</t>
        </is>
      </c>
      <c r="K10" s="50" t="inlineStr">
        <is>
          <t>監理者</t>
        </is>
      </c>
      <c r="L10" s="50" t="inlineStr">
        <is>
          <t>倉庫棚卸</t>
        </is>
      </c>
      <c r="M10" s="50" t="inlineStr">
        <is>
          <t>証明書期限切れ</t>
        </is>
      </c>
      <c r="N10" s="50" t="n"/>
      <c r="O10" s="50" t="n"/>
      <c r="P10" s="50" t="inlineStr">
        <is>
          <t>直接使用</t>
        </is>
      </c>
      <c r="Q10" s="50" t="inlineStr">
        <is>
          <t>一時停止／取消</t>
        </is>
      </c>
      <c r="R10" s="50" t="n"/>
      <c r="S10" s="50" t="n"/>
      <c r="T10" s="50" t="n"/>
    </row>
    <row r="11">
      <c r="A11" s="50" t="inlineStr">
        <is>
          <t>緊急購買</t>
        </is>
      </c>
      <c r="B11" s="50" t="inlineStr">
        <is>
          <t>断熱材</t>
        </is>
      </c>
      <c r="C11" s="50" t="inlineStr">
        <is>
          <t>枚</t>
        </is>
      </c>
      <c r="D11" s="50" t="n"/>
      <c r="E11" s="50" t="n"/>
      <c r="F11" s="50" t="n"/>
      <c r="G11" s="50" t="n"/>
      <c r="H11" s="50" t="n"/>
      <c r="I11" s="50" t="inlineStr">
        <is>
          <t>仮置場</t>
        </is>
      </c>
      <c r="J11" s="50" t="inlineStr">
        <is>
          <t>外構工事</t>
        </is>
      </c>
      <c r="K11" s="50" t="inlineStr">
        <is>
          <t>仕入先担当</t>
        </is>
      </c>
      <c r="L11" s="50" t="inlineStr">
        <is>
          <t>施工フィードバック</t>
        </is>
      </c>
      <c r="M11" s="50" t="inlineStr">
        <is>
          <t>納品遅延</t>
        </is>
      </c>
      <c r="N11" s="50" t="n"/>
      <c r="O11" s="50" t="n"/>
      <c r="P11" s="50" t="n"/>
      <c r="Q11" s="50" t="n"/>
      <c r="R11" s="50" t="n"/>
      <c r="S11" s="50" t="n"/>
      <c r="T11" s="50" t="n"/>
    </row>
    <row r="12">
      <c r="A12" s="50" t="inlineStr">
        <is>
          <t>分納搬入</t>
        </is>
      </c>
      <c r="B12" s="50" t="inlineStr">
        <is>
          <t>建具</t>
        </is>
      </c>
      <c r="C12" s="50" t="inlineStr">
        <is>
          <t>セット</t>
        </is>
      </c>
      <c r="D12" s="50" t="n"/>
      <c r="E12" s="50" t="n"/>
      <c r="F12" s="50" t="n"/>
      <c r="G12" s="50" t="n"/>
      <c r="H12" s="50" t="n"/>
      <c r="I12" s="50" t="n"/>
      <c r="J12" s="50" t="inlineStr">
        <is>
          <t>仮設エリア</t>
        </is>
      </c>
      <c r="K12" s="50" t="n"/>
      <c r="L12" s="50" t="n"/>
      <c r="M12" s="50" t="inlineStr">
        <is>
          <t>その他</t>
        </is>
      </c>
      <c r="N12" s="50" t="n"/>
      <c r="O12" s="50" t="n"/>
      <c r="P12" s="50" t="n"/>
      <c r="Q12" s="50" t="n"/>
      <c r="R12" s="50" t="n"/>
      <c r="S12" s="50" t="n"/>
      <c r="T12" s="50" t="n"/>
    </row>
    <row r="13">
      <c r="A13" s="50" t="n"/>
      <c r="B13" s="50" t="inlineStr">
        <is>
          <t>配配管材</t>
        </is>
      </c>
      <c r="C13" s="50" t="inlineStr">
        <is>
          <t>個</t>
        </is>
      </c>
      <c r="D13" s="50" t="n"/>
      <c r="E13" s="50" t="n"/>
      <c r="F13" s="50" t="n"/>
      <c r="G13" s="50" t="n"/>
      <c r="H13" s="50" t="n"/>
      <c r="I13" s="50" t="n"/>
      <c r="J13" s="50" t="n"/>
      <c r="K13" s="50" t="n"/>
      <c r="L13" s="50" t="n"/>
      <c r="M13" s="50" t="n"/>
      <c r="N13" s="50" t="n"/>
      <c r="O13" s="50" t="n"/>
      <c r="P13" s="50" t="n"/>
      <c r="Q13" s="50" t="n"/>
      <c r="R13" s="50" t="n"/>
      <c r="S13" s="50" t="n"/>
      <c r="T13" s="50" t="n"/>
    </row>
    <row r="14">
      <c r="A14" s="50" t="n"/>
      <c r="B14" s="50" t="inlineStr">
        <is>
          <t>電気資材</t>
        </is>
      </c>
      <c r="C14" s="50" t="inlineStr">
        <is>
          <t>ロット</t>
        </is>
      </c>
      <c r="D14" s="50" t="n"/>
      <c r="E14" s="50" t="n"/>
      <c r="F14" s="50" t="n"/>
      <c r="G14" s="50" t="n"/>
      <c r="H14" s="50" t="n"/>
      <c r="I14" s="50" t="n"/>
      <c r="J14" s="50" t="n"/>
      <c r="K14" s="50" t="n"/>
      <c r="L14" s="50" t="n"/>
      <c r="M14" s="50" t="n"/>
      <c r="N14" s="50" t="n"/>
      <c r="O14" s="50" t="n"/>
      <c r="P14" s="50" t="n"/>
      <c r="Q14" s="50" t="n"/>
      <c r="R14" s="50" t="n"/>
      <c r="S14" s="50" t="n"/>
      <c r="T14" s="50" t="n"/>
    </row>
    <row r="15">
      <c r="A15" s="50" t="n"/>
      <c r="B15" s="50" t="inlineStr">
        <is>
          <t>内装材</t>
        </is>
      </c>
      <c r="C15" s="50" t="inlineStr">
        <is>
          <t>袋</t>
        </is>
      </c>
      <c r="D15" s="50" t="n"/>
      <c r="E15" s="50" t="n"/>
      <c r="F15" s="50" t="n"/>
      <c r="G15" s="50" t="n"/>
      <c r="H15" s="50" t="n"/>
      <c r="I15" s="50" t="n"/>
      <c r="J15" s="50" t="n"/>
      <c r="K15" s="50" t="n"/>
      <c r="L15" s="50" t="n"/>
      <c r="M15" s="50" t="n"/>
      <c r="N15" s="50" t="n"/>
      <c r="O15" s="50" t="n"/>
      <c r="P15" s="50" t="n"/>
      <c r="Q15" s="50" t="n"/>
      <c r="R15" s="50" t="n"/>
      <c r="S15" s="50" t="n"/>
      <c r="T15" s="50" t="n"/>
    </row>
    <row r="16">
      <c r="A16" s="50" t="n"/>
      <c r="B16" s="50" t="inlineStr">
        <is>
          <t>セキュリティ保護材</t>
        </is>
      </c>
      <c r="C16" s="50" t="n"/>
      <c r="D16" s="50" t="n"/>
      <c r="E16" s="50" t="n"/>
      <c r="F16" s="50" t="n"/>
      <c r="G16" s="50" t="n"/>
      <c r="H16" s="50" t="n"/>
      <c r="I16" s="50" t="n"/>
      <c r="J16" s="50" t="n"/>
      <c r="K16" s="50" t="n"/>
      <c r="L16" s="50" t="n"/>
      <c r="M16" s="50" t="n"/>
      <c r="N16" s="50" t="n"/>
      <c r="O16" s="50" t="n"/>
      <c r="P16" s="50" t="n"/>
      <c r="Q16" s="50" t="n"/>
      <c r="R16" s="50" t="n"/>
      <c r="S16" s="50" t="n"/>
      <c r="T16" s="50" t="n"/>
    </row>
    <row r="17">
      <c r="A17" s="50" t="n"/>
      <c r="B17" s="50" t="inlineStr">
        <is>
          <t>機械部品</t>
        </is>
      </c>
      <c r="C17" s="50" t="n"/>
      <c r="D17" s="50" t="n"/>
      <c r="E17" s="50" t="n"/>
      <c r="F17" s="50" t="n"/>
      <c r="G17" s="50" t="n"/>
      <c r="H17" s="50" t="n"/>
      <c r="I17" s="50" t="n"/>
      <c r="J17" s="50" t="n"/>
      <c r="K17" s="50" t="n"/>
      <c r="L17" s="50" t="n"/>
      <c r="M17" s="50" t="n"/>
      <c r="N17" s="50" t="n"/>
      <c r="O17" s="50" t="n"/>
      <c r="P17" s="50" t="n"/>
      <c r="Q17" s="50" t="n"/>
      <c r="R17" s="50" t="n"/>
      <c r="S17" s="50" t="n"/>
      <c r="T17" s="50" t="n"/>
    </row>
    <row r="18">
      <c r="A18" s="50" t="n"/>
      <c r="B18" s="50" t="inlineStr">
        <is>
          <t>その他</t>
        </is>
      </c>
      <c r="C18" s="50" t="n"/>
      <c r="D18" s="50" t="n"/>
      <c r="E18" s="50" t="n"/>
      <c r="F18" s="50" t="n"/>
      <c r="G18" s="50" t="n"/>
      <c r="H18" s="50" t="n"/>
      <c r="I18" s="50" t="n"/>
      <c r="J18" s="50" t="n"/>
      <c r="K18" s="50" t="n"/>
      <c r="L18" s="50" t="n"/>
      <c r="M18" s="50" t="n"/>
      <c r="N18" s="50" t="n"/>
      <c r="O18" s="50" t="n"/>
      <c r="P18" s="50" t="n"/>
      <c r="Q18" s="50" t="n"/>
      <c r="R18" s="50" t="n"/>
      <c r="S18" s="50" t="n"/>
      <c r="T18" s="50" t="n"/>
    </row>
  </sheetData>
  <mergeCells count="2">
    <mergeCell ref="A1:T1"/>
    <mergeCell ref="A2:T2"/>
  </mergeCells>
  <pageMargins left="0.7" right="0.7" top="0.75" bottom="0.75" header="0.3" footer="0.3"/>
  <tableParts count="1">
    <tablePart xmlns:r="http://schemas.openxmlformats.org/officeDocument/2006/relationships" r:id="rId1"/>
  </tableParts>
</worksheet>
</file>

<file path=xl/worksheets/sheet3.xml><?xml version="1.0" encoding="utf-8"?>
<worksheet xmlns="http://schemas.openxmlformats.org/spreadsheetml/2006/main">
  <sheetPr>
    <outlinePr summaryBelow="1" summaryRight="1"/>
    <pageSetUpPr/>
  </sheetPr>
  <dimension ref="A1:T38"/>
  <sheetViews>
    <sheetView workbookViewId="0">
      <selection activeCell="A1" sqref="A1"/>
    </sheetView>
  </sheetViews>
  <sheetFormatPr baseColWidth="8" defaultRowHeight="15"/>
  <cols>
    <col width="13" customWidth="1" style="124" min="1" max="20"/>
  </cols>
  <sheetData>
    <row r="1" ht="30" customHeight="1" s="124">
      <c r="A1" s="9" t="inlineStr">
        <is>
          <t>建設資材搬入管理ダッシュボード</t>
        </is>
      </c>
      <c r="B1" s="1" t="n"/>
      <c r="C1" s="1" t="n"/>
      <c r="D1" s="1" t="n"/>
      <c r="E1" s="1" t="n"/>
      <c r="F1" s="1" t="n"/>
      <c r="G1" s="1" t="n"/>
      <c r="H1" s="1" t="n"/>
      <c r="I1" s="1" t="n"/>
      <c r="J1" s="1" t="n"/>
      <c r="K1" s="1" t="n"/>
      <c r="L1" s="1" t="n"/>
      <c r="M1" s="1" t="n"/>
      <c r="N1" s="1" t="n"/>
      <c r="O1" s="1" t="n"/>
      <c r="P1" s="1" t="n"/>
      <c r="Q1" s="1" t="n"/>
      <c r="R1" s="1" t="n"/>
      <c r="S1" s="1" t="n"/>
      <c r="T1" s="1" t="n"/>
    </row>
    <row r="2" ht="30" customHeight="1" s="124">
      <c r="A2" s="19" t="inlineStr">
        <is>
          <t>ダッシュボードは主要表の先頭500行を自動集計します。入力または更新後、Excelで開くと再計算されます。</t>
        </is>
      </c>
      <c r="B2" s="1" t="n"/>
      <c r="C2" s="1" t="n"/>
      <c r="D2" s="1" t="n"/>
      <c r="E2" s="1" t="n"/>
      <c r="F2" s="1" t="n"/>
      <c r="G2" s="1" t="n"/>
      <c r="H2" s="1" t="n"/>
      <c r="I2" s="1" t="n"/>
      <c r="J2" s="1" t="n"/>
      <c r="K2" s="1" t="n"/>
      <c r="L2" s="1" t="n"/>
      <c r="M2" s="1" t="n"/>
      <c r="N2" s="1" t="n"/>
      <c r="O2" s="1" t="n"/>
      <c r="P2" s="1" t="n"/>
      <c r="Q2" s="1" t="n"/>
      <c r="R2" s="1" t="n"/>
      <c r="S2" s="1" t="n"/>
      <c r="T2" s="1" t="n"/>
    </row>
    <row r="3">
      <c r="A3" s="116" t="n"/>
      <c r="B3" s="116" t="n"/>
      <c r="C3" s="116" t="n"/>
      <c r="D3" s="116" t="n"/>
      <c r="E3" s="116" t="n"/>
      <c r="F3" s="116" t="n"/>
      <c r="G3" s="116" t="n"/>
      <c r="H3" s="116" t="n"/>
      <c r="I3" s="116" t="n"/>
      <c r="J3" s="116" t="n"/>
      <c r="K3" s="116" t="n"/>
      <c r="L3" s="116" t="n"/>
      <c r="M3" s="116" t="n"/>
      <c r="N3" s="116" t="n"/>
      <c r="O3" s="116" t="n"/>
      <c r="P3" s="116" t="n"/>
      <c r="Q3" s="116" t="n"/>
      <c r="R3" s="116" t="n"/>
      <c r="S3" s="116" t="n"/>
      <c r="T3" s="116" t="n"/>
    </row>
    <row r="4">
      <c r="A4" s="31" t="inlineStr">
        <is>
          <t>搬入ロット</t>
        </is>
      </c>
      <c r="B4" s="58">
        <f>COUNTA('搬入台帳'!$C$5:$C$504)</f>
        <v/>
      </c>
      <c r="C4" s="31" t="inlineStr">
        <is>
          <t>受入合格率</t>
        </is>
      </c>
      <c r="D4" s="127">
        <f>IFERROR(COUNTIF('搬入台帳'!$U$5:$U$504,"合格")/COUNTA('搬入台帳'!$C$5:$C$504),0)</f>
        <v/>
      </c>
      <c r="E4" s="31" t="inlineStr">
        <is>
          <t>不適合ロット</t>
        </is>
      </c>
      <c r="F4" s="58">
        <f>COUNTIF('搬入台帳'!$U$5:$U$504,"不適合")</f>
        <v/>
      </c>
      <c r="G4" s="31" t="inlineStr">
        <is>
          <t>検査待ち／検査中</t>
        </is>
      </c>
      <c r="H4" s="58">
        <f>COUNTIF('搬入台帳'!$X$5:$X$504,"検査待ち")+COUNTIF('搬入台帳'!$X$5:$X$504,"検査中")</f>
        <v/>
      </c>
      <c r="I4" s="31" t="inlineStr">
        <is>
          <t>未搬入遅延</t>
        </is>
      </c>
      <c r="J4" s="58">
        <f>COUNTIF('搬入台帳'!$AE$5:$AE$504,"&gt;0")</f>
        <v/>
      </c>
      <c r="K4" s="31" t="inlineStr">
        <is>
          <t>当月金額</t>
        </is>
      </c>
      <c r="L4" s="128">
        <f>SUMIFS('搬入台帳'!$T$5:$T$504,'搬入台帳'!$M$5:$M$504,"&gt;="&amp;EOMONTH(TODAY(),-1)+1,'搬入台帳'!$M$5:$M$504,"&lt;"&amp;EOMONTH(TODAY(),0)+1)</f>
        <v/>
      </c>
      <c r="M4" s="116" t="n"/>
      <c r="N4" s="116" t="n"/>
      <c r="O4" s="116" t="n"/>
      <c r="P4" s="116" t="n"/>
      <c r="Q4" s="116" t="n"/>
      <c r="R4" s="116" t="n"/>
      <c r="S4" s="116" t="n"/>
      <c r="T4" s="116" t="n"/>
    </row>
    <row r="5">
      <c r="A5" s="31" t="inlineStr">
        <is>
          <t>リスク個数</t>
        </is>
      </c>
      <c r="B5" s="58">
        <f>SUMPRODUCT(--('搬入台帳'!$C$5:$C$504&lt;&gt;""),--((('搬入台帳'!$AE$5:$AE$504&gt;0)+('搬入台帳'!$AF$5:$AF$504&gt;0)+('搬入台帳'!$U$5:$U$504="不適合")+('搬入台帳'!$V$5:$V$504="不足")+('搬入台帳'!$X$5:$X$504="検査待ち")+('搬入台帳'!$Y$5:$Y$504="いいえ"))&gt;0))</f>
        <v/>
      </c>
      <c r="C5" s="31" t="inlineStr">
        <is>
          <t>仕入先数</t>
        </is>
      </c>
      <c r="D5" s="58">
        <f>COUNTA('仕入先情報'!$B$5:$B$104)</f>
        <v/>
      </c>
      <c r="E5" s="31" t="inlineStr">
        <is>
          <t>改善遅延個数</t>
        </is>
      </c>
      <c r="F5" s="58">
        <f>COUNTIF('改善管理台帳'!$Q$5:$Q$304,"&gt;0")</f>
        <v/>
      </c>
      <c r="G5" s="31" t="inlineStr">
        <is>
          <t>計画ギャップ項目</t>
        </is>
      </c>
      <c r="H5" s="58">
        <f>COUNTIF('購買計画'!$I$5:$I$204,"&gt;0")</f>
        <v/>
      </c>
      <c r="I5" s="31" t="inlineStr">
        <is>
          <t>書類不足／要補足</t>
        </is>
      </c>
      <c r="J5" s="58">
        <f>COUNTIF('搬入台帳'!$V$5:$V$504,"不足")+COUNTIF('搬入台帳'!$V$5:$V$504,"要補足")</f>
        <v/>
      </c>
      <c r="K5" s="31" t="inlineStr">
        <is>
          <t>対象年度</t>
        </is>
      </c>
      <c r="L5" s="58">
        <f>YEAR(TODAY())</f>
        <v/>
      </c>
      <c r="M5" s="116" t="n"/>
      <c r="N5" s="116" t="n"/>
      <c r="O5" s="116" t="n"/>
      <c r="P5" s="116" t="n"/>
      <c r="Q5" s="116" t="n"/>
      <c r="R5" s="116" t="n"/>
      <c r="S5" s="116" t="n"/>
      <c r="T5" s="116" t="n"/>
    </row>
    <row r="6">
      <c r="A6" s="116" t="n"/>
      <c r="B6" s="116" t="n"/>
      <c r="C6" s="116" t="n"/>
      <c r="D6" s="116" t="n"/>
      <c r="E6" s="116" t="n"/>
      <c r="F6" s="116" t="n"/>
      <c r="G6" s="116" t="n"/>
      <c r="H6" s="116" t="n"/>
      <c r="I6" s="116" t="n"/>
      <c r="J6" s="116" t="n"/>
      <c r="K6" s="116" t="n"/>
      <c r="L6" s="116" t="n"/>
      <c r="M6" s="116" t="n"/>
      <c r="N6" s="116" t="n"/>
      <c r="O6" s="116" t="n"/>
      <c r="P6" s="116" t="n"/>
      <c r="Q6" s="116" t="n"/>
      <c r="R6" s="116" t="n"/>
      <c r="S6" s="116" t="n"/>
      <c r="T6" s="116" t="n"/>
    </row>
    <row r="7">
      <c r="A7" s="116" t="n"/>
      <c r="B7" s="116" t="n"/>
      <c r="C7" s="116" t="n"/>
      <c r="D7" s="116" t="n"/>
      <c r="E7" s="116" t="n"/>
      <c r="F7" s="116" t="n"/>
      <c r="G7" s="116" t="n"/>
      <c r="H7" s="116" t="n"/>
      <c r="I7" s="116" t="n"/>
      <c r="J7" s="116" t="n"/>
      <c r="K7" s="116" t="n"/>
      <c r="L7" s="116" t="n"/>
      <c r="M7" s="116" t="n"/>
      <c r="N7" s="116" t="n"/>
      <c r="O7" s="116" t="n"/>
      <c r="P7" s="116" t="n"/>
      <c r="Q7" s="116" t="n"/>
      <c r="R7" s="116" t="n"/>
      <c r="S7" s="116" t="n"/>
      <c r="T7" s="116" t="n"/>
    </row>
    <row r="8" ht="28" customHeight="1" s="124">
      <c r="A8" s="31" t="inlineStr">
        <is>
          <t>受入状態</t>
        </is>
      </c>
      <c r="B8" s="31" t="inlineStr">
        <is>
          <t>数量</t>
        </is>
      </c>
      <c r="C8" s="116" t="n"/>
      <c r="D8" s="116" t="n"/>
      <c r="E8" s="116" t="n"/>
      <c r="F8" s="116" t="n"/>
      <c r="G8" s="116" t="n"/>
      <c r="H8" s="116" t="n"/>
      <c r="I8" s="116" t="n"/>
      <c r="J8" s="116" t="n"/>
      <c r="K8" s="31" t="inlineStr">
        <is>
          <t>月</t>
        </is>
      </c>
      <c r="L8" s="31" t="inlineStr">
        <is>
          <t>ロット</t>
        </is>
      </c>
      <c r="M8" s="31" t="inlineStr">
        <is>
          <t>金額</t>
        </is>
      </c>
      <c r="N8" s="116" t="n"/>
      <c r="O8" s="116" t="n"/>
      <c r="P8" s="116" t="n"/>
      <c r="Q8" s="116" t="n"/>
      <c r="R8" s="116" t="n"/>
      <c r="S8" s="116" t="n"/>
      <c r="T8" s="116" t="n"/>
    </row>
    <row r="9">
      <c r="A9" s="50" t="inlineStr">
        <is>
          <t>受入待ち</t>
        </is>
      </c>
      <c r="B9" s="50">
        <f>COUNTIF('搬入台帳'!$U$5:$U$504,"受入待ち")</f>
        <v/>
      </c>
      <c r="C9" s="116" t="n"/>
      <c r="D9" s="116" t="n"/>
      <c r="E9" s="116" t="n"/>
      <c r="F9" s="116" t="n"/>
      <c r="G9" s="116" t="n"/>
      <c r="H9" s="116" t="n"/>
      <c r="I9" s="116" t="n"/>
      <c r="J9" s="116" t="n"/>
      <c r="K9" s="129" t="inlineStr">
        <is>
          <t>1月</t>
        </is>
      </c>
      <c r="L9" s="50">
        <f>COUNTIFS('搬入台帳'!$M$5:$M$504,"&gt;="&amp;DATE(YEAR(TODAY()),1,1),'搬入台帳'!$M$5:$M$504,"&lt;"&amp;EDATE(DATE(YEAR(TODAY()),1,1),1))</f>
        <v/>
      </c>
      <c r="M9" s="130">
        <f>SUMIFS('搬入台帳'!$T$5:$T$504,'搬入台帳'!$M$5:$M$504,"&gt;="&amp;DATE(YEAR(TODAY()),1,1),'搬入台帳'!$M$5:$M$504,"&lt;"&amp;EDATE(DATE(YEAR(TODAY()),1,1),1))</f>
        <v/>
      </c>
      <c r="N9" s="116" t="n"/>
      <c r="O9" s="116" t="n"/>
      <c r="P9" s="116" t="n"/>
      <c r="Q9" s="116" t="n"/>
      <c r="R9" s="116" t="n"/>
      <c r="S9" s="116" t="n"/>
      <c r="T9" s="116" t="n"/>
    </row>
    <row r="10">
      <c r="A10" s="50" t="inlineStr">
        <is>
          <t>合格</t>
        </is>
      </c>
      <c r="B10" s="50">
        <f>COUNTIF('搬入台帳'!$U$5:$U$504,"合格")</f>
        <v/>
      </c>
      <c r="C10" s="116" t="n"/>
      <c r="D10" s="116" t="n"/>
      <c r="E10" s="116" t="n"/>
      <c r="F10" s="116" t="n"/>
      <c r="G10" s="116" t="n"/>
      <c r="H10" s="116" t="n"/>
      <c r="I10" s="116" t="n"/>
      <c r="J10" s="116" t="n"/>
      <c r="K10" s="129" t="inlineStr">
        <is>
          <t>2月</t>
        </is>
      </c>
      <c r="L10" s="50">
        <f>COUNTIFS('搬入台帳'!$M$5:$M$504,"&gt;="&amp;DATE(YEAR(TODAY()),2,1),'搬入台帳'!$M$5:$M$504,"&lt;"&amp;EDATE(DATE(YEAR(TODAY()),2,1),1))</f>
        <v/>
      </c>
      <c r="M10" s="130">
        <f>SUMIFS('搬入台帳'!$T$5:$T$504,'搬入台帳'!$M$5:$M$504,"&gt;="&amp;DATE(YEAR(TODAY()),2,1),'搬入台帳'!$M$5:$M$504,"&lt;"&amp;EDATE(DATE(YEAR(TODAY()),2,1),1))</f>
        <v/>
      </c>
      <c r="N10" s="116" t="n"/>
      <c r="O10" s="116" t="n"/>
      <c r="P10" s="116" t="n"/>
      <c r="Q10" s="116" t="n"/>
      <c r="R10" s="116" t="n"/>
      <c r="S10" s="116" t="n"/>
      <c r="T10" s="116" t="n"/>
    </row>
    <row r="11">
      <c r="A11" s="50" t="inlineStr">
        <is>
          <t>一部受入</t>
        </is>
      </c>
      <c r="B11" s="50">
        <f>COUNTIF('搬入台帳'!$U$5:$U$504,"一部受入")</f>
        <v/>
      </c>
      <c r="C11" s="116" t="n"/>
      <c r="D11" s="116" t="n"/>
      <c r="E11" s="116" t="n"/>
      <c r="F11" s="116" t="n"/>
      <c r="G11" s="116" t="n"/>
      <c r="H11" s="116" t="n"/>
      <c r="I11" s="116" t="n"/>
      <c r="J11" s="116" t="n"/>
      <c r="K11" s="129" t="inlineStr">
        <is>
          <t>3月</t>
        </is>
      </c>
      <c r="L11" s="50">
        <f>COUNTIFS('搬入台帳'!$M$5:$M$504,"&gt;="&amp;DATE(YEAR(TODAY()),3,1),'搬入台帳'!$M$5:$M$504,"&lt;"&amp;EDATE(DATE(YEAR(TODAY()),3,1),1))</f>
        <v/>
      </c>
      <c r="M11" s="130">
        <f>SUMIFS('搬入台帳'!$T$5:$T$504,'搬入台帳'!$M$5:$M$504,"&gt;="&amp;DATE(YEAR(TODAY()),3,1),'搬入台帳'!$M$5:$M$504,"&lt;"&amp;EDATE(DATE(YEAR(TODAY()),3,1),1))</f>
        <v/>
      </c>
      <c r="N11" s="116" t="n"/>
      <c r="O11" s="116" t="n"/>
      <c r="P11" s="116" t="n"/>
      <c r="Q11" s="116" t="n"/>
      <c r="R11" s="116" t="n"/>
      <c r="S11" s="116" t="n"/>
      <c r="T11" s="116" t="n"/>
    </row>
    <row r="12">
      <c r="A12" s="50" t="inlineStr">
        <is>
          <t>不適合</t>
        </is>
      </c>
      <c r="B12" s="50">
        <f>COUNTIF('搬入台帳'!$U$5:$U$504,"不適合")</f>
        <v/>
      </c>
      <c r="C12" s="116" t="n"/>
      <c r="D12" s="116" t="n"/>
      <c r="E12" s="116" t="n"/>
      <c r="F12" s="116" t="n"/>
      <c r="G12" s="116" t="n"/>
      <c r="H12" s="116" t="n"/>
      <c r="I12" s="116" t="n"/>
      <c r="J12" s="116" t="n"/>
      <c r="K12" s="129" t="inlineStr">
        <is>
          <t>4月</t>
        </is>
      </c>
      <c r="L12" s="50">
        <f>COUNTIFS('搬入台帳'!$M$5:$M$504,"&gt;="&amp;DATE(YEAR(TODAY()),4,1),'搬入台帳'!$M$5:$M$504,"&lt;"&amp;EDATE(DATE(YEAR(TODAY()),4,1),1))</f>
        <v/>
      </c>
      <c r="M12" s="130">
        <f>SUMIFS('搬入台帳'!$T$5:$T$504,'搬入台帳'!$M$5:$M$504,"&gt;="&amp;DATE(YEAR(TODAY()),4,1),'搬入台帳'!$M$5:$M$504,"&lt;"&amp;EDATE(DATE(YEAR(TODAY()),4,1),1))</f>
        <v/>
      </c>
      <c r="N12" s="116" t="n"/>
      <c r="O12" s="116" t="n"/>
      <c r="P12" s="116" t="n"/>
      <c r="Q12" s="116" t="n"/>
      <c r="R12" s="116" t="n"/>
      <c r="S12" s="116" t="n"/>
      <c r="T12" s="116" t="n"/>
    </row>
    <row r="13">
      <c r="A13" s="50" t="inlineStr">
        <is>
          <t>返却／受入拒いいえ</t>
        </is>
      </c>
      <c r="B13" s="50">
        <f>COUNTIF('搬入台帳'!$U$5:$U$504,"返却／受入拒いいえ")</f>
        <v/>
      </c>
      <c r="C13" s="116" t="n"/>
      <c r="D13" s="116" t="n"/>
      <c r="E13" s="116" t="n"/>
      <c r="F13" s="116" t="n"/>
      <c r="G13" s="116" t="n"/>
      <c r="H13" s="116" t="n"/>
      <c r="I13" s="116" t="n"/>
      <c r="J13" s="116" t="n"/>
      <c r="K13" s="129" t="inlineStr">
        <is>
          <t>5月</t>
        </is>
      </c>
      <c r="L13" s="50">
        <f>COUNTIFS('搬入台帳'!$M$5:$M$504,"&gt;="&amp;DATE(YEAR(TODAY()),5,1),'搬入台帳'!$M$5:$M$504,"&lt;"&amp;EDATE(DATE(YEAR(TODAY()),5,1),1))</f>
        <v/>
      </c>
      <c r="M13" s="130">
        <f>SUMIFS('搬入台帳'!$T$5:$T$504,'搬入台帳'!$M$5:$M$504,"&gt;="&amp;DATE(YEAR(TODAY()),5,1),'搬入台帳'!$M$5:$M$504,"&lt;"&amp;EDATE(DATE(YEAR(TODAY()),5,1),1))</f>
        <v/>
      </c>
      <c r="N13" s="116" t="n"/>
      <c r="O13" s="116" t="n"/>
      <c r="P13" s="116" t="n"/>
      <c r="Q13" s="116" t="n"/>
      <c r="R13" s="116" t="n"/>
      <c r="S13" s="116" t="n"/>
      <c r="T13" s="116" t="n"/>
    </row>
    <row r="14">
      <c r="A14" s="116" t="n"/>
      <c r="B14" s="116" t="n"/>
      <c r="C14" s="116" t="n"/>
      <c r="D14" s="116" t="n"/>
      <c r="E14" s="116" t="n"/>
      <c r="F14" s="116" t="n"/>
      <c r="G14" s="116" t="n"/>
      <c r="H14" s="116" t="n"/>
      <c r="I14" s="116" t="n"/>
      <c r="J14" s="116" t="n"/>
      <c r="K14" s="129" t="inlineStr">
        <is>
          <t>6月</t>
        </is>
      </c>
      <c r="L14" s="50">
        <f>COUNTIFS('搬入台帳'!$M$5:$M$504,"&gt;="&amp;DATE(YEAR(TODAY()),6,1),'搬入台帳'!$M$5:$M$504,"&lt;"&amp;EDATE(DATE(YEAR(TODAY()),6,1),1))</f>
        <v/>
      </c>
      <c r="M14" s="130">
        <f>SUMIFS('搬入台帳'!$T$5:$T$504,'搬入台帳'!$M$5:$M$504,"&gt;="&amp;DATE(YEAR(TODAY()),6,1),'搬入台帳'!$M$5:$M$504,"&lt;"&amp;EDATE(DATE(YEAR(TODAY()),6,1),1))</f>
        <v/>
      </c>
      <c r="N14" s="116" t="n"/>
      <c r="O14" s="116" t="n"/>
      <c r="P14" s="116" t="n"/>
      <c r="Q14" s="116" t="n"/>
      <c r="R14" s="116" t="n"/>
      <c r="S14" s="116" t="n"/>
      <c r="T14" s="116" t="n"/>
    </row>
    <row r="15">
      <c r="A15" s="116" t="n"/>
      <c r="B15" s="116" t="n"/>
      <c r="C15" s="116" t="n"/>
      <c r="D15" s="116" t="n"/>
      <c r="E15" s="116" t="n"/>
      <c r="F15" s="116" t="n"/>
      <c r="G15" s="116" t="n"/>
      <c r="H15" s="116" t="n"/>
      <c r="I15" s="116" t="n"/>
      <c r="J15" s="116" t="n"/>
      <c r="K15" s="129" t="inlineStr">
        <is>
          <t>7月</t>
        </is>
      </c>
      <c r="L15" s="50">
        <f>COUNTIFS('搬入台帳'!$M$5:$M$504,"&gt;="&amp;DATE(YEAR(TODAY()),7,1),'搬入台帳'!$M$5:$M$504,"&lt;"&amp;EDATE(DATE(YEAR(TODAY()),7,1),1))</f>
        <v/>
      </c>
      <c r="M15" s="130">
        <f>SUMIFS('搬入台帳'!$T$5:$T$504,'搬入台帳'!$M$5:$M$504,"&gt;="&amp;DATE(YEAR(TODAY()),7,1),'搬入台帳'!$M$5:$M$504,"&lt;"&amp;EDATE(DATE(YEAR(TODAY()),7,1),1))</f>
        <v/>
      </c>
      <c r="N15" s="116" t="n"/>
      <c r="O15" s="116" t="n"/>
      <c r="P15" s="116" t="n"/>
      <c r="Q15" s="116" t="n"/>
      <c r="R15" s="116" t="n"/>
      <c r="S15" s="116" t="n"/>
      <c r="T15" s="116" t="n"/>
    </row>
    <row r="16">
      <c r="A16" s="116" t="n"/>
      <c r="B16" s="116" t="n"/>
      <c r="C16" s="116" t="n"/>
      <c r="D16" s="116" t="n"/>
      <c r="E16" s="116" t="n"/>
      <c r="F16" s="116" t="n"/>
      <c r="G16" s="116" t="n"/>
      <c r="H16" s="116" t="n"/>
      <c r="I16" s="116" t="n"/>
      <c r="J16" s="116" t="n"/>
      <c r="K16" s="129" t="inlineStr">
        <is>
          <t>8月</t>
        </is>
      </c>
      <c r="L16" s="50">
        <f>COUNTIFS('搬入台帳'!$M$5:$M$504,"&gt;="&amp;DATE(YEAR(TODAY()),8,1),'搬入台帳'!$M$5:$M$504,"&lt;"&amp;EDATE(DATE(YEAR(TODAY()),8,1),1))</f>
        <v/>
      </c>
      <c r="M16" s="130">
        <f>SUMIFS('搬入台帳'!$T$5:$T$504,'搬入台帳'!$M$5:$M$504,"&gt;="&amp;DATE(YEAR(TODAY()),8,1),'搬入台帳'!$M$5:$M$504,"&lt;"&amp;EDATE(DATE(YEAR(TODAY()),8,1),1))</f>
        <v/>
      </c>
      <c r="N16" s="116" t="n"/>
      <c r="O16" s="116" t="n"/>
      <c r="P16" s="116" t="n"/>
      <c r="Q16" s="116" t="n"/>
      <c r="R16" s="116" t="n"/>
      <c r="S16" s="116" t="n"/>
      <c r="T16" s="116" t="n"/>
    </row>
    <row r="17">
      <c r="A17" s="116" t="n"/>
      <c r="B17" s="116" t="n"/>
      <c r="C17" s="116" t="n"/>
      <c r="D17" s="116" t="n"/>
      <c r="E17" s="116" t="n"/>
      <c r="F17" s="116" t="n"/>
      <c r="G17" s="116" t="n"/>
      <c r="H17" s="116" t="n"/>
      <c r="I17" s="116" t="n"/>
      <c r="J17" s="116" t="n"/>
      <c r="K17" s="129" t="inlineStr">
        <is>
          <t>9月</t>
        </is>
      </c>
      <c r="L17" s="50">
        <f>COUNTIFS('搬入台帳'!$M$5:$M$504,"&gt;="&amp;DATE(YEAR(TODAY()),9,1),'搬入台帳'!$M$5:$M$504,"&lt;"&amp;EDATE(DATE(YEAR(TODAY()),9,1),1))</f>
        <v/>
      </c>
      <c r="M17" s="130">
        <f>SUMIFS('搬入台帳'!$T$5:$T$504,'搬入台帳'!$M$5:$M$504,"&gt;="&amp;DATE(YEAR(TODAY()),9,1),'搬入台帳'!$M$5:$M$504,"&lt;"&amp;EDATE(DATE(YEAR(TODAY()),9,1),1))</f>
        <v/>
      </c>
      <c r="N17" s="116" t="n"/>
      <c r="O17" s="116" t="n"/>
      <c r="P17" s="116" t="n"/>
      <c r="Q17" s="116" t="n"/>
      <c r="R17" s="116" t="n"/>
      <c r="S17" s="116" t="n"/>
      <c r="T17" s="116" t="n"/>
    </row>
    <row r="18">
      <c r="A18" s="116" t="n"/>
      <c r="B18" s="116" t="n"/>
      <c r="C18" s="116" t="n"/>
      <c r="D18" s="116" t="n"/>
      <c r="E18" s="116" t="n"/>
      <c r="F18" s="116" t="n"/>
      <c r="G18" s="116" t="n"/>
      <c r="H18" s="116" t="n"/>
      <c r="I18" s="116" t="n"/>
      <c r="J18" s="116" t="n"/>
      <c r="K18" s="129" t="inlineStr">
        <is>
          <t>10月</t>
        </is>
      </c>
      <c r="L18" s="50">
        <f>COUNTIFS('搬入台帳'!$M$5:$M$504,"&gt;="&amp;DATE(YEAR(TODAY()),10,1),'搬入台帳'!$M$5:$M$504,"&lt;"&amp;EDATE(DATE(YEAR(TODAY()),10,1),1))</f>
        <v/>
      </c>
      <c r="M18" s="130">
        <f>SUMIFS('搬入台帳'!$T$5:$T$504,'搬入台帳'!$M$5:$M$504,"&gt;="&amp;DATE(YEAR(TODAY()),10,1),'搬入台帳'!$M$5:$M$504,"&lt;"&amp;EDATE(DATE(YEAR(TODAY()),10,1),1))</f>
        <v/>
      </c>
      <c r="N18" s="116" t="n"/>
      <c r="O18" s="116" t="n"/>
      <c r="P18" s="116" t="n"/>
      <c r="Q18" s="116" t="n"/>
      <c r="R18" s="116" t="n"/>
      <c r="S18" s="116" t="n"/>
      <c r="T18" s="116" t="n"/>
    </row>
    <row r="19">
      <c r="A19" s="116" t="n"/>
      <c r="B19" s="116" t="n"/>
      <c r="C19" s="116" t="n"/>
      <c r="D19" s="116" t="n"/>
      <c r="E19" s="116" t="n"/>
      <c r="F19" s="116" t="n"/>
      <c r="G19" s="116" t="n"/>
      <c r="H19" s="116" t="n"/>
      <c r="I19" s="116" t="n"/>
      <c r="J19" s="116" t="n"/>
      <c r="K19" s="129" t="inlineStr">
        <is>
          <t>11月</t>
        </is>
      </c>
      <c r="L19" s="50">
        <f>COUNTIFS('搬入台帳'!$M$5:$M$504,"&gt;="&amp;DATE(YEAR(TODAY()),11,1),'搬入台帳'!$M$5:$M$504,"&lt;"&amp;EDATE(DATE(YEAR(TODAY()),11,1),1))</f>
        <v/>
      </c>
      <c r="M19" s="130">
        <f>SUMIFS('搬入台帳'!$T$5:$T$504,'搬入台帳'!$M$5:$M$504,"&gt;="&amp;DATE(YEAR(TODAY()),11,1),'搬入台帳'!$M$5:$M$504,"&lt;"&amp;EDATE(DATE(YEAR(TODAY()),11,1),1))</f>
        <v/>
      </c>
      <c r="N19" s="116" t="n"/>
      <c r="O19" s="116" t="n"/>
      <c r="P19" s="116" t="n"/>
      <c r="Q19" s="116" t="n"/>
      <c r="R19" s="116" t="n"/>
      <c r="S19" s="116" t="n"/>
      <c r="T19" s="116" t="n"/>
    </row>
    <row r="20">
      <c r="A20" s="116" t="n"/>
      <c r="B20" s="116" t="n"/>
      <c r="C20" s="116" t="n"/>
      <c r="D20" s="116" t="n"/>
      <c r="E20" s="116" t="n"/>
      <c r="F20" s="116" t="n"/>
      <c r="G20" s="116" t="n"/>
      <c r="H20" s="116" t="n"/>
      <c r="I20" s="116" t="n"/>
      <c r="J20" s="116" t="n"/>
      <c r="K20" s="129" t="inlineStr">
        <is>
          <t>12月</t>
        </is>
      </c>
      <c r="L20" s="50">
        <f>COUNTIFS('搬入台帳'!$M$5:$M$504,"&gt;="&amp;DATE(YEAR(TODAY()),12,1),'搬入台帳'!$M$5:$M$504,"&lt;"&amp;EDATE(DATE(YEAR(TODAY()),12,1),1))</f>
        <v/>
      </c>
      <c r="M20" s="130">
        <f>SUMIFS('搬入台帳'!$T$5:$T$504,'搬入台帳'!$M$5:$M$504,"&gt;="&amp;DATE(YEAR(TODAY()),12,1),'搬入台帳'!$M$5:$M$504,"&lt;"&amp;EDATE(DATE(YEAR(TODAY()),12,1),1))</f>
        <v/>
      </c>
      <c r="N20" s="116" t="n"/>
      <c r="O20" s="116" t="n"/>
      <c r="P20" s="116" t="n"/>
      <c r="Q20" s="116" t="n"/>
      <c r="R20" s="116" t="n"/>
      <c r="S20" s="116" t="n"/>
      <c r="T20" s="116" t="n"/>
    </row>
    <row r="21">
      <c r="A21" s="116" t="n"/>
      <c r="B21" s="116" t="n"/>
      <c r="C21" s="116" t="n"/>
      <c r="D21" s="116" t="n"/>
      <c r="E21" s="116" t="n"/>
      <c r="F21" s="116" t="n"/>
      <c r="G21" s="116" t="n"/>
      <c r="H21" s="116" t="n"/>
      <c r="I21" s="116" t="n"/>
      <c r="J21" s="116" t="n"/>
      <c r="K21" s="116" t="n"/>
      <c r="L21" s="116" t="n"/>
      <c r="M21" s="116" t="n"/>
      <c r="N21" s="116" t="n"/>
      <c r="O21" s="116" t="n"/>
      <c r="P21" s="116" t="n"/>
      <c r="Q21" s="116" t="n"/>
      <c r="R21" s="116" t="n"/>
      <c r="S21" s="116" t="n"/>
      <c r="T21" s="116" t="n"/>
    </row>
    <row r="22">
      <c r="A22" s="116" t="n"/>
      <c r="B22" s="116" t="n"/>
      <c r="C22" s="116" t="n"/>
      <c r="D22" s="116" t="n"/>
      <c r="E22" s="116" t="n"/>
      <c r="F22" s="116" t="n"/>
      <c r="G22" s="116" t="n"/>
      <c r="H22" s="116" t="n"/>
      <c r="I22" s="116" t="n"/>
      <c r="J22" s="116" t="n"/>
      <c r="K22" s="116" t="n"/>
      <c r="L22" s="116" t="n"/>
      <c r="M22" s="116" t="n"/>
      <c r="N22" s="116" t="n"/>
      <c r="O22" s="116" t="n"/>
      <c r="P22" s="116" t="n"/>
      <c r="Q22" s="116" t="n"/>
      <c r="R22" s="116" t="n"/>
      <c r="S22" s="116" t="n"/>
      <c r="T22" s="116" t="n"/>
    </row>
    <row r="23" ht="28" customHeight="1" s="124">
      <c r="A23" s="31" t="inlineStr">
        <is>
          <t>資材分類</t>
        </is>
      </c>
      <c r="B23" s="31" t="inlineStr">
        <is>
          <t>ロット</t>
        </is>
      </c>
      <c r="C23" s="31" t="inlineStr">
        <is>
          <t>金額</t>
        </is>
      </c>
      <c r="D23" s="116" t="n"/>
      <c r="E23" s="116" t="n"/>
      <c r="F23" s="116" t="n"/>
      <c r="G23" s="116" t="n"/>
      <c r="H23" s="116" t="n"/>
      <c r="I23" s="116" t="n"/>
      <c r="J23" s="116" t="n"/>
      <c r="K23" s="79" t="inlineStr">
        <is>
          <t>リスク監視と対応案</t>
        </is>
      </c>
      <c r="L23" s="1" t="n"/>
      <c r="M23" s="1" t="n"/>
      <c r="N23" s="1" t="n"/>
      <c r="O23" s="1" t="n"/>
      <c r="P23" s="1" t="n"/>
      <c r="Q23" s="1" t="n"/>
      <c r="R23" s="1" t="n"/>
      <c r="S23" s="1" t="n"/>
      <c r="T23" s="1" t="n"/>
    </row>
    <row r="24" ht="32" customHeight="1" s="124">
      <c r="A24" s="50" t="inlineStr">
        <is>
          <t>鉄筋</t>
        </is>
      </c>
      <c r="B24" s="50">
        <f>COUNTIF('搬入台帳'!$F$5:$F$504,"鉄筋")</f>
        <v/>
      </c>
      <c r="C24" s="130">
        <f>SUMIF('搬入台帳'!$F$5:$F$504,"鉄筋",'搬入台帳'!$T$5:$T$504)</f>
        <v/>
      </c>
      <c r="D24" s="116" t="n"/>
      <c r="E24" s="116" t="n"/>
      <c r="F24" s="116" t="n"/>
      <c r="G24" s="116" t="n"/>
      <c r="H24" s="116" t="n"/>
      <c r="I24" s="116" t="n"/>
      <c r="J24" s="116" t="n"/>
      <c r="K24" s="31" t="inlineStr">
        <is>
          <t>監視項目</t>
        </is>
      </c>
      <c r="L24" s="31" t="inlineStr">
        <is>
          <t>数量</t>
        </is>
      </c>
      <c r="M24" s="31" t="inlineStr">
        <is>
          <t>推奨対応</t>
        </is>
      </c>
      <c r="N24" s="116" t="n"/>
      <c r="O24" s="116" t="n"/>
      <c r="P24" s="116" t="n"/>
      <c r="Q24" s="116" t="n"/>
      <c r="R24" s="116" t="n"/>
      <c r="S24" s="116" t="n"/>
      <c r="T24" s="116" t="n"/>
    </row>
    <row r="25" ht="32" customHeight="1" s="124">
      <c r="A25" s="50" t="inlineStr">
        <is>
          <t>生コン</t>
        </is>
      </c>
      <c r="B25" s="50">
        <f>COUNTIF('搬入台帳'!$F$5:$F$504,"生コン")</f>
        <v/>
      </c>
      <c r="C25" s="130">
        <f>SUMIF('搬入台帳'!$F$5:$F$504,"生コン",'搬入台帳'!$T$5:$T$504)</f>
        <v/>
      </c>
      <c r="D25" s="116" t="n"/>
      <c r="E25" s="116" t="n"/>
      <c r="F25" s="116" t="n"/>
      <c r="G25" s="116" t="n"/>
      <c r="H25" s="116" t="n"/>
      <c r="I25" s="116" t="n"/>
      <c r="J25" s="116" t="n"/>
      <c r="K25" s="50" t="inlineStr">
        <is>
          <t>未搬入遅延</t>
        </is>
      </c>
      <c r="L25" s="50">
        <f>COUNTIF('搬入台帳'!$AE$5:$AE$504,"&gt;0")</f>
        <v/>
      </c>
      <c r="M25" s="51" t="inlineStr">
        <is>
          <t>仕入先へ優先的に連絡し、予定日を更新します。クリティカルパスに影響する場合は代替購買または振替を開始します。</t>
        </is>
      </c>
      <c r="N25" s="1" t="n"/>
      <c r="O25" s="1" t="n"/>
      <c r="P25" s="1" t="n"/>
      <c r="Q25" s="1" t="n"/>
      <c r="R25" s="1" t="n"/>
      <c r="S25" s="1" t="n"/>
      <c r="T25" s="1" t="n"/>
    </row>
    <row r="26" ht="32" customHeight="1" s="124">
      <c r="A26" s="50" t="inlineStr">
        <is>
          <t>セメント</t>
        </is>
      </c>
      <c r="B26" s="50">
        <f>COUNTIF('搬入台帳'!$F$5:$F$504,"セメント")</f>
        <v/>
      </c>
      <c r="C26" s="130">
        <f>SUMIF('搬入台帳'!$F$5:$F$504,"セメント",'搬入台帳'!$T$5:$T$504)</f>
        <v/>
      </c>
      <c r="D26" s="116" t="n"/>
      <c r="E26" s="116" t="n"/>
      <c r="F26" s="116" t="n"/>
      <c r="G26" s="116" t="n"/>
      <c r="H26" s="116" t="n"/>
      <c r="I26" s="116" t="n"/>
      <c r="J26" s="116" t="n"/>
      <c r="K26" s="50" t="inlineStr">
        <is>
          <t>数量不足</t>
        </is>
      </c>
      <c r="L26" s="50">
        <f>COUNTIF('搬入台帳'!$AF$5:$AF$504,"&gt;0")</f>
        <v/>
      </c>
      <c r="M26" s="51" t="inlineStr">
        <is>
          <t>納品書、契約数量、実受入数量を照合します。不足ロットは追納または精算控除で処理します。</t>
        </is>
      </c>
      <c r="N26" s="1" t="n"/>
      <c r="O26" s="1" t="n"/>
      <c r="P26" s="1" t="n"/>
      <c r="Q26" s="1" t="n"/>
      <c r="R26" s="1" t="n"/>
      <c r="S26" s="1" t="n"/>
      <c r="T26" s="1" t="n"/>
    </row>
    <row r="27" ht="32" customHeight="1" s="124">
      <c r="A27" s="50" t="inlineStr">
        <is>
          <t>砂利・砂</t>
        </is>
      </c>
      <c r="B27" s="50">
        <f>COUNTIF('搬入台帳'!$F$5:$F$504,"砂利・砂")</f>
        <v/>
      </c>
      <c r="C27" s="130">
        <f>SUMIF('搬入台帳'!$F$5:$F$504,"砂利・砂",'搬入台帳'!$T$5:$T$504)</f>
        <v/>
      </c>
      <c r="D27" s="116" t="n"/>
      <c r="E27" s="116" t="n"/>
      <c r="F27" s="116" t="n"/>
      <c r="G27" s="116" t="n"/>
      <c r="H27" s="116" t="n"/>
      <c r="I27" s="116" t="n"/>
      <c r="J27" s="116" t="n"/>
      <c r="K27" s="50" t="inlineStr">
        <is>
          <t>受入不適合</t>
        </is>
      </c>
      <c r="L27" s="50">
        <f>COUNTIF('搬入台帳'!$U$5:$U$504,"不適合")</f>
        <v/>
      </c>
      <c r="M27" s="51" t="inlineStr">
        <is>
          <t>隔離表示を行い、使用を禁止します。社内ルールに従って返却、再検査、改善を実施します。</t>
        </is>
      </c>
      <c r="N27" s="1" t="n"/>
      <c r="O27" s="1" t="n"/>
      <c r="P27" s="1" t="n"/>
      <c r="Q27" s="1" t="n"/>
      <c r="R27" s="1" t="n"/>
      <c r="S27" s="1" t="n"/>
      <c r="T27" s="1" t="n"/>
    </row>
    <row r="28" ht="32" customHeight="1" s="124">
      <c r="A28" s="50" t="inlineStr">
        <is>
          <t>組積材</t>
        </is>
      </c>
      <c r="B28" s="50">
        <f>COUNTIF('搬入台帳'!$F$5:$F$504,"組積材")</f>
        <v/>
      </c>
      <c r="C28" s="130">
        <f>SUMIF('搬入台帳'!$F$5:$F$504,"組積材",'搬入台帳'!$T$5:$T$504)</f>
        <v/>
      </c>
      <c r="D28" s="116" t="n"/>
      <c r="E28" s="116" t="n"/>
      <c r="F28" s="116" t="n"/>
      <c r="G28" s="116" t="n"/>
      <c r="H28" s="116" t="n"/>
      <c r="I28" s="116" t="n"/>
      <c r="J28" s="116" t="n"/>
      <c r="K28" s="50" t="inlineStr">
        <is>
          <t>書類不足／要補足</t>
        </is>
      </c>
      <c r="L28" s="50">
        <f>COUNTIF('搬入台帳'!$V$5:$V$504,"不足")+COUNTIF('搬入台帳'!$V$5:$V$504,"要補足")</f>
        <v/>
      </c>
      <c r="M28" s="51" t="inlineStr">
        <is>
          <t>合格証、品質保証書、検査報告書、メーカー資料などをそろえます。完了するまで入庫を制限します。</t>
        </is>
      </c>
      <c r="N28" s="1" t="n"/>
      <c r="O28" s="1" t="n"/>
      <c r="P28" s="1" t="n"/>
      <c r="Q28" s="1" t="n"/>
      <c r="R28" s="1" t="n"/>
      <c r="S28" s="1" t="n"/>
      <c r="T28" s="1" t="n"/>
    </row>
    <row r="29" ht="32" customHeight="1" s="124">
      <c r="A29" s="50" t="inlineStr">
        <is>
          <t>防水材</t>
        </is>
      </c>
      <c r="B29" s="50">
        <f>COUNTIF('搬入台帳'!$F$5:$F$504,"防水材")</f>
        <v/>
      </c>
      <c r="C29" s="130">
        <f>SUMIF('搬入台帳'!$F$5:$F$504,"防水材",'搬入台帳'!$T$5:$T$504)</f>
        <v/>
      </c>
      <c r="D29" s="116" t="n"/>
      <c r="E29" s="116" t="n"/>
      <c r="F29" s="116" t="n"/>
      <c r="G29" s="116" t="n"/>
      <c r="H29" s="116" t="n"/>
      <c r="I29" s="116" t="n"/>
      <c r="J29" s="116" t="n"/>
      <c r="K29" s="50" t="inlineStr">
        <is>
          <t>検査不適合</t>
        </is>
      </c>
      <c r="L29" s="50">
        <f>COUNTIF('検査記録'!$J$5:$J$304,"不適合")</f>
        <v/>
      </c>
      <c r="M29" s="51" t="inlineStr">
        <is>
          <t>品質管理、監理者、仕入先へ通知します。改善課題と紐づけ、報告書添付を保存します。</t>
        </is>
      </c>
      <c r="N29" s="1" t="n"/>
      <c r="O29" s="1" t="n"/>
      <c r="P29" s="1" t="n"/>
      <c r="Q29" s="1" t="n"/>
      <c r="R29" s="1" t="n"/>
      <c r="S29" s="1" t="n"/>
      <c r="T29" s="1" t="n"/>
    </row>
    <row r="30" ht="32" customHeight="1" s="124">
      <c r="A30" s="50" t="inlineStr">
        <is>
          <t>断熱材</t>
        </is>
      </c>
      <c r="B30" s="50">
        <f>COUNTIF('搬入台帳'!$F$5:$F$504,"断熱材")</f>
        <v/>
      </c>
      <c r="C30" s="130">
        <f>SUMIF('搬入台帳'!$F$5:$F$504,"断熱材",'搬入台帳'!$T$5:$T$504)</f>
        <v/>
      </c>
      <c r="D30" s="116" t="n"/>
      <c r="E30" s="116" t="n"/>
      <c r="F30" s="116" t="n"/>
      <c r="G30" s="116" t="n"/>
      <c r="H30" s="116" t="n"/>
      <c r="I30" s="116" t="n"/>
      <c r="J30" s="116" t="n"/>
      <c r="K30" s="50" t="inlineStr">
        <is>
          <t>仕入先資格リスク</t>
        </is>
      </c>
      <c r="L30" s="50">
        <f>SUMPRODUCT(--('仕入先情報'!$B$5:$B$104&lt;&gt;""),--((('仕入先情報'!$G$5:$G$104&lt;TODAY()+30)+('仕入先情報'!$F$5:$F$104&lt;&gt;"有効")+('仕入先情報'!$N$5:$N$104&gt;0.05)+('仕入先情報'!$I$5:$I$104="観察"))&gt;0))</f>
        <v/>
      </c>
      <c r="M30" s="51" t="inlineStr">
        <is>
          <t>資格期限、不適合率、評価を確認します。必要に応じて供給停止または観察対象にします。</t>
        </is>
      </c>
      <c r="N30" s="1" t="n"/>
      <c r="O30" s="1" t="n"/>
      <c r="P30" s="1" t="n"/>
      <c r="Q30" s="1" t="n"/>
      <c r="R30" s="1" t="n"/>
      <c r="S30" s="1" t="n"/>
      <c r="T30" s="1" t="n"/>
    </row>
    <row r="31">
      <c r="A31" s="50" t="inlineStr">
        <is>
          <t>建具</t>
        </is>
      </c>
      <c r="B31" s="50">
        <f>COUNTIF('搬入台帳'!$F$5:$F$504,"建具")</f>
        <v/>
      </c>
      <c r="C31" s="130">
        <f>SUMIF('搬入台帳'!$F$5:$F$504,"建具",'搬入台帳'!$T$5:$T$504)</f>
        <v/>
      </c>
      <c r="D31" s="116" t="n"/>
      <c r="E31" s="116" t="n"/>
      <c r="F31" s="116" t="n"/>
      <c r="G31" s="116" t="n"/>
      <c r="H31" s="116" t="n"/>
      <c r="I31" s="116" t="n"/>
      <c r="J31" s="116" t="n"/>
      <c r="K31" s="116" t="n"/>
      <c r="L31" s="116" t="n"/>
      <c r="M31" s="116" t="n"/>
      <c r="N31" s="116" t="n"/>
      <c r="O31" s="116" t="n"/>
      <c r="P31" s="116" t="n"/>
      <c r="Q31" s="116" t="n"/>
      <c r="R31" s="116" t="n"/>
      <c r="S31" s="116" t="n"/>
      <c r="T31" s="116" t="n"/>
    </row>
    <row r="32">
      <c r="A32" s="50" t="inlineStr">
        <is>
          <t>配配管材</t>
        </is>
      </c>
      <c r="B32" s="50">
        <f>COUNTIF('搬入台帳'!$F$5:$F$504,"配管材")</f>
        <v/>
      </c>
      <c r="C32" s="130">
        <f>SUMIF('搬入台帳'!$F$5:$F$504,"配管材",'搬入台帳'!$T$5:$T$504)</f>
        <v/>
      </c>
      <c r="D32" s="116" t="n"/>
      <c r="E32" s="116" t="n"/>
      <c r="F32" s="116" t="n"/>
      <c r="G32" s="116" t="n"/>
      <c r="H32" s="116" t="n"/>
      <c r="I32" s="116" t="n"/>
      <c r="J32" s="116" t="n"/>
      <c r="K32" s="116" t="n"/>
      <c r="L32" s="116" t="n"/>
      <c r="M32" s="116" t="n"/>
      <c r="N32" s="116" t="n"/>
      <c r="O32" s="116" t="n"/>
      <c r="P32" s="116" t="n"/>
      <c r="Q32" s="116" t="n"/>
      <c r="R32" s="116" t="n"/>
      <c r="S32" s="116" t="n"/>
      <c r="T32" s="116" t="n"/>
    </row>
    <row r="33">
      <c r="A33" s="50" t="inlineStr">
        <is>
          <t>電気資材</t>
        </is>
      </c>
      <c r="B33" s="50">
        <f>COUNTIF('搬入台帳'!$F$5:$F$504,"電気資材")</f>
        <v/>
      </c>
      <c r="C33" s="130">
        <f>SUMIF('搬入台帳'!$F$5:$F$504,"電気資材",'搬入台帳'!$T$5:$T$504)</f>
        <v/>
      </c>
      <c r="D33" s="116" t="n"/>
      <c r="E33" s="116" t="n"/>
      <c r="F33" s="116" t="n"/>
      <c r="G33" s="116" t="n"/>
      <c r="H33" s="116" t="n"/>
      <c r="I33" s="116" t="n"/>
      <c r="J33" s="116" t="n"/>
      <c r="K33" s="116" t="n"/>
      <c r="L33" s="116" t="n"/>
      <c r="M33" s="116" t="n"/>
      <c r="N33" s="116" t="n"/>
      <c r="O33" s="116" t="n"/>
      <c r="P33" s="116" t="n"/>
      <c r="Q33" s="116" t="n"/>
      <c r="R33" s="116" t="n"/>
      <c r="S33" s="116" t="n"/>
      <c r="T33" s="116" t="n"/>
    </row>
    <row r="34">
      <c r="A34" s="50" t="inlineStr">
        <is>
          <t>内装材</t>
        </is>
      </c>
      <c r="B34" s="50">
        <f>COUNTIF('搬入台帳'!$F$5:$F$504,"内装材")</f>
        <v/>
      </c>
      <c r="C34" s="130">
        <f>SUMIF('搬入台帳'!$F$5:$F$504,"内装材",'搬入台帳'!$T$5:$T$504)</f>
        <v/>
      </c>
      <c r="D34" s="116" t="n"/>
      <c r="E34" s="116" t="n"/>
      <c r="F34" s="116" t="n"/>
      <c r="G34" s="116" t="n"/>
      <c r="H34" s="116" t="n"/>
      <c r="I34" s="116" t="n"/>
      <c r="J34" s="116" t="n"/>
      <c r="K34" s="116" t="n"/>
      <c r="L34" s="116" t="n"/>
      <c r="M34" s="116" t="n"/>
      <c r="N34" s="116" t="n"/>
      <c r="O34" s="116" t="n"/>
      <c r="P34" s="116" t="n"/>
      <c r="Q34" s="116" t="n"/>
      <c r="R34" s="116" t="n"/>
      <c r="S34" s="116" t="n"/>
      <c r="T34" s="116" t="n"/>
    </row>
    <row r="35">
      <c r="A35" s="50" t="inlineStr">
        <is>
          <t>セキュリティ保護材</t>
        </is>
      </c>
      <c r="B35" s="50">
        <f>COUNTIF('搬入台帳'!$F$5:$F$504,"セキュリティ保護材")</f>
        <v/>
      </c>
      <c r="C35" s="130">
        <f>SUMIF('搬入台帳'!$F$5:$F$504,"セキュリティ保護材",'搬入台帳'!$T$5:$T$504)</f>
        <v/>
      </c>
      <c r="D35" s="116" t="n"/>
      <c r="E35" s="116" t="n"/>
      <c r="F35" s="116" t="n"/>
      <c r="G35" s="116" t="n"/>
      <c r="H35" s="116" t="n"/>
      <c r="I35" s="116" t="n"/>
      <c r="J35" s="116" t="n"/>
      <c r="K35" s="116" t="n"/>
      <c r="L35" s="116" t="n"/>
      <c r="M35" s="116" t="n"/>
      <c r="N35" s="116" t="n"/>
      <c r="O35" s="116" t="n"/>
      <c r="P35" s="116" t="n"/>
      <c r="Q35" s="116" t="n"/>
      <c r="R35" s="116" t="n"/>
      <c r="S35" s="116" t="n"/>
      <c r="T35" s="116" t="n"/>
    </row>
    <row r="36">
      <c r="A36" s="50" t="inlineStr">
        <is>
          <t>機械部品</t>
        </is>
      </c>
      <c r="B36" s="50">
        <f>COUNTIF('搬入台帳'!$F$5:$F$504,"機械部品")</f>
        <v/>
      </c>
      <c r="C36" s="130">
        <f>SUMIF('搬入台帳'!$F$5:$F$504,"機械部品",'搬入台帳'!$T$5:$T$504)</f>
        <v/>
      </c>
      <c r="D36" s="116" t="n"/>
      <c r="E36" s="116" t="n"/>
      <c r="F36" s="116" t="n"/>
      <c r="G36" s="116" t="n"/>
      <c r="H36" s="116" t="n"/>
      <c r="I36" s="116" t="n"/>
      <c r="J36" s="116" t="n"/>
      <c r="K36" s="116" t="n"/>
      <c r="L36" s="116" t="n"/>
      <c r="M36" s="116" t="n"/>
      <c r="N36" s="116" t="n"/>
      <c r="O36" s="116" t="n"/>
      <c r="P36" s="116" t="n"/>
      <c r="Q36" s="116" t="n"/>
      <c r="R36" s="116" t="n"/>
      <c r="S36" s="116" t="n"/>
      <c r="T36" s="116" t="n"/>
    </row>
    <row r="37">
      <c r="A37" s="50" t="inlineStr">
        <is>
          <t>その他</t>
        </is>
      </c>
      <c r="B37" s="50">
        <f>COUNTIF('搬入台帳'!$F$5:$F$504,"その他")</f>
        <v/>
      </c>
      <c r="C37" s="130">
        <f>SUMIF('搬入台帳'!$F$5:$F$504,"その他",'搬入台帳'!$T$5:$T$504)</f>
        <v/>
      </c>
      <c r="D37" s="116" t="n"/>
      <c r="E37" s="116" t="n"/>
      <c r="F37" s="116" t="n"/>
      <c r="G37" s="116" t="n"/>
      <c r="H37" s="116" t="n"/>
      <c r="I37" s="116" t="n"/>
      <c r="J37" s="116" t="n"/>
      <c r="K37" s="116" t="n"/>
      <c r="L37" s="116" t="n"/>
      <c r="M37" s="116" t="n"/>
      <c r="N37" s="116" t="n"/>
      <c r="O37" s="116" t="n"/>
      <c r="P37" s="116" t="n"/>
      <c r="Q37" s="116" t="n"/>
      <c r="R37" s="116" t="n"/>
      <c r="S37" s="116" t="n"/>
      <c r="T37" s="116" t="n"/>
    </row>
    <row r="38">
      <c r="A38" s="116" t="n"/>
      <c r="B38" s="116" t="n"/>
      <c r="C38" s="116" t="n"/>
      <c r="D38" s="116" t="n"/>
      <c r="E38" s="116" t="n"/>
      <c r="F38" s="116" t="n"/>
      <c r="G38" s="116" t="n"/>
      <c r="H38" s="116" t="n"/>
      <c r="I38" s="116" t="n"/>
      <c r="J38" s="116" t="n"/>
      <c r="K38" s="116" t="n"/>
      <c r="L38" s="116" t="n"/>
      <c r="M38" s="116" t="n"/>
      <c r="N38" s="116" t="n"/>
      <c r="O38" s="116" t="n"/>
      <c r="P38" s="116" t="n"/>
      <c r="Q38" s="116" t="n"/>
      <c r="R38" s="116" t="n"/>
      <c r="S38" s="116" t="n"/>
      <c r="T38" s="116" t="n"/>
    </row>
  </sheetData>
  <mergeCells count="9">
    <mergeCell ref="A1:T1"/>
    <mergeCell ref="M25:T25"/>
    <mergeCell ref="M30:T30"/>
    <mergeCell ref="K23:T23"/>
    <mergeCell ref="M28:T28"/>
    <mergeCell ref="M29:T29"/>
    <mergeCell ref="A2:T2"/>
    <mergeCell ref="M27:T27"/>
    <mergeCell ref="M26:T26"/>
  </mergeCells>
  <conditionalFormatting sqref="L25:L30">
    <cfRule type="cellIs" priority="1" operator="greaterThan" dxfId="6">
      <formula>0</formula>
    </cfRule>
  </conditionalFormatting>
  <pageMargins left="0.7" right="0.7" top="0.75" bottom="0.75" header="0.3" footer="0.3"/>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O7"/>
  <sheetViews>
    <sheetView workbookViewId="0">
      <selection activeCell="A1" sqref="A1"/>
    </sheetView>
  </sheetViews>
  <sheetFormatPr baseColWidth="8" defaultRowHeight="15"/>
  <cols>
    <col width="14" customWidth="1" style="124" min="1" max="1"/>
    <col width="16" customWidth="1" style="124" min="2" max="2"/>
    <col width="14" customWidth="1" style="124" min="3" max="3"/>
    <col width="24" customWidth="1" style="124" min="4" max="4"/>
    <col width="16" customWidth="1" style="124" min="5" max="5"/>
    <col width="10" customWidth="1" style="124" min="6" max="6"/>
    <col width="12" customWidth="1" style="124" min="7" max="7"/>
    <col width="14" customWidth="1" style="124" min="8" max="13"/>
    <col width="12" customWidth="1" style="124" min="14" max="14"/>
    <col width="28" customWidth="1" style="124" min="15" max="15"/>
  </cols>
  <sheetData>
    <row r="1" ht="30" customHeight="1" s="124">
      <c r="A1" s="9" t="inlineStr">
        <is>
          <t>購買計画</t>
        </is>
      </c>
      <c r="B1" s="1" t="n"/>
      <c r="C1" s="1" t="n"/>
      <c r="D1" s="1" t="n"/>
      <c r="E1" s="1" t="n"/>
      <c r="F1" s="1" t="n"/>
      <c r="G1" s="1" t="n"/>
      <c r="H1" s="1" t="n"/>
      <c r="I1" s="1" t="n"/>
      <c r="J1" s="1" t="n"/>
      <c r="K1" s="1" t="n"/>
      <c r="L1" s="1" t="n"/>
      <c r="M1" s="1" t="n"/>
      <c r="N1" s="1" t="n"/>
      <c r="O1" s="1" t="n"/>
    </row>
    <row r="2" ht="30" customHeight="1" s="124">
      <c r="A2" s="19" t="inlineStr">
        <is>
          <t>資材の必要計画と未搬入数量を記録します。搬入済数量は「搬入台帳」から現場、分類、資材名、仕様ごとに自動集計されます。</t>
        </is>
      </c>
      <c r="B2" s="1" t="n"/>
      <c r="C2" s="1" t="n"/>
      <c r="D2" s="1" t="n"/>
      <c r="E2" s="1" t="n"/>
      <c r="F2" s="1" t="n"/>
      <c r="G2" s="1" t="n"/>
      <c r="H2" s="1" t="n"/>
      <c r="I2" s="1" t="n"/>
      <c r="J2" s="1" t="n"/>
      <c r="K2" s="1" t="n"/>
      <c r="L2" s="1" t="n"/>
      <c r="M2" s="1" t="n"/>
      <c r="N2" s="1" t="n"/>
      <c r="O2" s="1" t="n"/>
    </row>
    <row r="3" ht="24" customHeight="1" s="124">
      <c r="A3" s="115" t="inlineStr">
        <is>
          <t>入力の目安：数式が入っていない列を優先して入力します。プルダウン候補は「辞書設定」で管理します。サンプル行は削除または上書きできます。数式列は自動計算されます。</t>
        </is>
      </c>
      <c r="B3" s="1" t="n"/>
      <c r="C3" s="1" t="n"/>
      <c r="D3" s="1" t="n"/>
      <c r="E3" s="1" t="n"/>
      <c r="F3" s="1" t="n"/>
      <c r="G3" s="1" t="n"/>
      <c r="H3" s="1" t="n"/>
      <c r="I3" s="1" t="n"/>
      <c r="J3" s="1" t="n"/>
      <c r="K3" s="1" t="n"/>
      <c r="L3" s="1" t="n"/>
      <c r="M3" s="1" t="n"/>
      <c r="N3" s="1" t="n"/>
      <c r="O3" s="1" t="n"/>
    </row>
    <row r="4" ht="28" customHeight="1" s="124">
      <c r="A4" s="31" t="inlineStr">
        <is>
          <t>計画番号</t>
        </is>
      </c>
      <c r="B4" s="31" t="inlineStr">
        <is>
          <t>現場／エリア</t>
        </is>
      </c>
      <c r="C4" s="31" t="inlineStr">
        <is>
          <t>資材分類</t>
        </is>
      </c>
      <c r="D4" s="31" t="inlineStr">
        <is>
          <t>資材名</t>
        </is>
      </c>
      <c r="E4" s="31" t="inlineStr">
        <is>
          <t>仕様・型式</t>
        </is>
      </c>
      <c r="F4" s="31" t="inlineStr">
        <is>
          <t>単位</t>
        </is>
      </c>
      <c r="G4" s="31" t="inlineStr">
        <is>
          <t>計画数量</t>
        </is>
      </c>
      <c r="H4" s="31" t="inlineStr">
        <is>
          <t>搬入済数量</t>
        </is>
      </c>
      <c r="I4" s="31" t="inlineStr">
        <is>
          <t>未搬入数量</t>
        </is>
      </c>
      <c r="J4" s="31" t="inlineStr">
        <is>
          <t>初回予定日</t>
        </is>
      </c>
      <c r="K4" s="31" t="inlineStr">
        <is>
          <t>最終予定日</t>
        </is>
      </c>
      <c r="L4" s="31" t="inlineStr">
        <is>
          <t>購買状態</t>
        </is>
      </c>
      <c r="M4" s="31" t="inlineStr">
        <is>
          <t>依頼部門</t>
        </is>
      </c>
      <c r="N4" s="31" t="inlineStr">
        <is>
          <t>担当者</t>
        </is>
      </c>
      <c r="O4" s="31" t="inlineStr">
        <is>
          <t>備考</t>
        </is>
      </c>
    </row>
    <row r="5">
      <c r="A5" s="86">
        <f>IF($D5="","","JH-"&amp;TEXT(ROW()-4,"0000"))</f>
        <v/>
      </c>
      <c r="B5" s="86" t="inlineStr">
        <is>
          <t>A現場</t>
        </is>
      </c>
      <c r="C5" s="86" t="inlineStr">
        <is>
          <t>鉄筋</t>
        </is>
      </c>
      <c r="D5" s="86" t="inlineStr">
        <is>
          <t>HRB400E鉄筋</t>
        </is>
      </c>
      <c r="E5" s="86" t="inlineStr">
        <is>
          <t>Φ18</t>
        </is>
      </c>
      <c r="F5" s="86" t="inlineStr">
        <is>
          <t>トン</t>
        </is>
      </c>
      <c r="G5" s="131" t="n">
        <v>120</v>
      </c>
      <c r="H5" s="131">
        <f>IF($D5="","",SUMIFS('搬入台帳'!$R$5:$R$504,'搬入台帳'!$C$5:$C$504,$B5,'搬入台帳'!$F$5:$F$504,$C5,'搬入台帳'!$G$5:$G$504,$D5,'搬入台帳'!$H$5:$H$504,$E5))</f>
        <v/>
      </c>
      <c r="I5" s="131">
        <f>IF($D5="","",MAX(0,$G5-$H5))</f>
        <v/>
      </c>
      <c r="J5" s="132" t="n">
        <v>46147</v>
      </c>
      <c r="K5" s="132" t="n">
        <v>46172</v>
      </c>
      <c r="L5" s="86" t="inlineStr">
        <is>
          <t>一部入荷</t>
        </is>
      </c>
      <c r="M5" s="86" t="inlineStr">
        <is>
          <t>工務部</t>
        </is>
      </c>
      <c r="N5" s="86" t="inlineStr">
        <is>
          <t>購買担当</t>
        </is>
      </c>
      <c r="O5" s="86" t="inlineStr">
        <is>
          <t>躯体工事の初回ロット</t>
        </is>
      </c>
    </row>
    <row r="6">
      <c r="A6" s="86">
        <f>IF($D6="","","JH-"&amp;TEXT(ROW()-4,"0000"))</f>
        <v/>
      </c>
      <c r="B6" s="86" t="inlineStr">
        <is>
          <t>A現場</t>
        </is>
      </c>
      <c r="C6" s="86" t="inlineStr">
        <is>
          <t>生コン</t>
        </is>
      </c>
      <c r="D6" s="86" t="inlineStr">
        <is>
          <t>レディーミクストコンクリート</t>
        </is>
      </c>
      <c r="E6" s="86" t="inlineStr">
        <is>
          <t>C30</t>
        </is>
      </c>
      <c r="F6" s="86" t="inlineStr">
        <is>
          <t>m3</t>
        </is>
      </c>
      <c r="G6" s="131" t="n">
        <v>800</v>
      </c>
      <c r="H6" s="131">
        <f>IF($D6="","",SUMIFS('搬入台帳'!$R$5:$R$504,'搬入台帳'!$C$5:$C$504,$B6,'搬入台帳'!$F$5:$F$504,$C6,'搬入台帳'!$G$5:$G$504,$D6,'搬入台帳'!$H$5:$H$504,$E6))</f>
        <v/>
      </c>
      <c r="I6" s="131">
        <f>IF($D6="","",MAX(0,$G6-$H6))</f>
        <v/>
      </c>
      <c r="J6" s="132" t="n">
        <v>46154</v>
      </c>
      <c r="K6" s="132" t="n">
        <v>46178</v>
      </c>
      <c r="L6" s="86" t="inlineStr">
        <is>
          <t>発注済み</t>
        </is>
      </c>
      <c r="M6" s="86" t="inlineStr">
        <is>
          <t>工務部</t>
        </is>
      </c>
      <c r="N6" s="86" t="inlineStr">
        <is>
          <t>購買担当</t>
        </is>
      </c>
      <c r="O6" s="86" t="inlineStr">
        <is>
          <t>打設計画に合わせて分納</t>
        </is>
      </c>
    </row>
    <row r="7">
      <c r="A7" s="86">
        <f>IF($D7="","","JH-"&amp;TEXT(ROW()-4,"0000"))</f>
        <v/>
      </c>
      <c r="B7" s="86" t="inlineStr">
        <is>
          <t>B現場</t>
        </is>
      </c>
      <c r="C7" s="86" t="inlineStr">
        <is>
          <t>防水材</t>
        </is>
      </c>
      <c r="D7" s="86" t="inlineStr">
        <is>
          <t>SBS改質アスファルト防水シート</t>
        </is>
      </c>
      <c r="E7" s="86" t="inlineStr">
        <is>
          <t>4mm</t>
        </is>
      </c>
      <c r="F7" s="86" t="inlineStr">
        <is>
          <t>m2</t>
        </is>
      </c>
      <c r="G7" s="131" t="n">
        <v>3000</v>
      </c>
      <c r="H7" s="131">
        <f>IF($D7="","",SUMIFS('搬入台帳'!$R$5:$R$504,'搬入台帳'!$C$5:$C$504,$B7,'搬入台帳'!$F$5:$F$504,$C7,'搬入台帳'!$G$5:$G$504,$D7,'搬入台帳'!$H$5:$H$504,$E7))</f>
        <v/>
      </c>
      <c r="I7" s="131">
        <f>IF($D7="","",MAX(0,$G7-$H7))</f>
        <v/>
      </c>
      <c r="J7" s="132" t="n">
        <v>46162</v>
      </c>
      <c r="K7" s="132" t="n">
        <v>46188</v>
      </c>
      <c r="L7" s="86" t="inlineStr">
        <is>
          <t>見積中</t>
        </is>
      </c>
      <c r="M7" s="86" t="inlineStr">
        <is>
          <t>技術部</t>
        </is>
      </c>
      <c r="N7" s="86" t="inlineStr">
        <is>
          <t>購買担当</t>
        </is>
      </c>
      <c r="O7" s="86" t="inlineStr">
        <is>
          <t>検査提出必要</t>
        </is>
      </c>
    </row>
  </sheetData>
  <mergeCells count="3">
    <mergeCell ref="A1:O1"/>
    <mergeCell ref="A3:O3"/>
    <mergeCell ref="A2:O2"/>
  </mergeCells>
  <conditionalFormatting sqref="I5:I204">
    <cfRule type="cellIs" priority="1" operator="greaterThan" dxfId="0">
      <formula>0</formula>
    </cfRule>
  </conditionalFormatting>
  <dataValidations count="4">
    <dataValidation sqref="B5:B204" showDropDown="0" showInputMessage="0" showErrorMessage="0" allowBlank="0" type="list">
      <formula1>'辞書設定'!$I$5:$I$11</formula1>
    </dataValidation>
    <dataValidation sqref="C5:C204" showDropDown="0" showInputMessage="0" showErrorMessage="0" allowBlank="0" type="list">
      <formula1>'辞書設定'!$B$5:$B$18</formula1>
    </dataValidation>
    <dataValidation sqref="F5:F204" showDropDown="0" showInputMessage="0" showErrorMessage="0" allowBlank="0" type="list">
      <formula1>'辞書設定'!$C$5:$C$15</formula1>
    </dataValidation>
    <dataValidation sqref="L5:L204" showDropDown="0" showInputMessage="0" showErrorMessage="0" allowBlank="0" type="list">
      <formula1>'辞書設定'!$Q$5:$Q$10</formula1>
    </dataValidation>
  </dataValidations>
  <pageMargins left="0.7" right="0.7" top="0.75" bottom="0.75" header="0.3" footer="0.3"/>
  <tableParts count="1">
    <tablePart xmlns:r="http://schemas.openxmlformats.org/officeDocument/2006/relationships" r:id="rId1"/>
  </tableParts>
</worksheet>
</file>

<file path=xl/worksheets/sheet5.xml><?xml version="1.0" encoding="utf-8"?>
<worksheet xmlns="http://schemas.openxmlformats.org/spreadsheetml/2006/main">
  <sheetPr>
    <outlinePr summaryBelow="1" summaryRight="1"/>
    <pageSetUpPr/>
  </sheetPr>
  <dimension ref="A1:AG8"/>
  <sheetViews>
    <sheetView workbookViewId="0">
      <selection activeCell="A1" sqref="A1"/>
    </sheetView>
  </sheetViews>
  <sheetFormatPr baseColWidth="8" defaultRowHeight="15"/>
  <cols>
    <col width="14" customWidth="1" style="124" min="1" max="2"/>
    <col width="16" customWidth="1" style="124" min="3" max="4"/>
    <col width="24" customWidth="1" style="124" min="5" max="5"/>
    <col width="14" customWidth="1" style="124" min="6" max="6"/>
    <col width="24" customWidth="1" style="124" min="7" max="7"/>
    <col width="16" customWidth="1" style="124" min="8" max="8"/>
    <col width="14" customWidth="1" style="124" min="9" max="9"/>
    <col width="10" customWidth="1" style="124" min="10" max="10"/>
    <col width="16" customWidth="1" style="124" min="11" max="11"/>
    <col width="14" customWidth="1" style="124" min="12" max="13"/>
    <col width="18" customWidth="1" style="124" min="14" max="14"/>
    <col width="16" customWidth="1" style="124" min="15" max="16"/>
    <col width="12" customWidth="1" style="124" min="17" max="19"/>
    <col width="14" customWidth="1" style="124" min="20" max="21"/>
    <col width="12" customWidth="1" style="124" min="22" max="22"/>
    <col width="14" customWidth="1" style="124" min="23" max="24"/>
    <col width="12" customWidth="1" style="124" min="25" max="25"/>
    <col width="14" customWidth="1" style="124" min="26" max="26"/>
    <col width="18" customWidth="1" style="124" min="27" max="27"/>
    <col width="12" customWidth="1" style="124" min="28" max="29"/>
    <col width="28" customWidth="1" style="124" min="30" max="30"/>
    <col width="12" customWidth="1" style="124" min="31" max="32"/>
    <col width="32" customWidth="1" style="124" min="33" max="33"/>
  </cols>
  <sheetData>
    <row r="1" ht="30" customHeight="1" s="124">
      <c r="A1" s="9" t="inlineStr">
        <is>
          <t>資材搬入台帳</t>
        </is>
      </c>
      <c r="B1" s="1" t="n"/>
      <c r="C1" s="1" t="n"/>
      <c r="D1" s="1" t="n"/>
      <c r="E1" s="1" t="n"/>
      <c r="F1" s="1" t="n"/>
      <c r="G1" s="1" t="n"/>
      <c r="H1" s="1" t="n"/>
      <c r="I1" s="1" t="n"/>
      <c r="J1" s="1" t="n"/>
      <c r="K1" s="1" t="n"/>
      <c r="L1" s="1" t="n"/>
      <c r="M1" s="1" t="n"/>
      <c r="N1" s="1" t="n"/>
      <c r="O1" s="1" t="n"/>
      <c r="P1" s="1" t="n"/>
      <c r="Q1" s="1" t="n"/>
      <c r="R1" s="1" t="n"/>
      <c r="S1" s="1" t="n"/>
      <c r="T1" s="1" t="n"/>
      <c r="U1" s="1" t="n"/>
      <c r="V1" s="1" t="n"/>
      <c r="W1" s="1" t="n"/>
      <c r="X1" s="1" t="n"/>
      <c r="Y1" s="1" t="n"/>
      <c r="Z1" s="1" t="n"/>
      <c r="AA1" s="1" t="n"/>
      <c r="AB1" s="1" t="n"/>
      <c r="AC1" s="1" t="n"/>
      <c r="AD1" s="1" t="n"/>
      <c r="AE1" s="1" t="n"/>
      <c r="AF1" s="1" t="n"/>
      <c r="AG1" s="1" t="n"/>
    </row>
    <row r="2" ht="30" customHeight="1" s="124">
      <c r="A2" s="19" t="inlineStr">
        <is>
          <t>車両ごと、またはロットごとの搬入を1行で記録します。数式列で金額、期限超過、不足、リスク表示を自動生成します。</t>
        </is>
      </c>
      <c r="B2" s="1" t="n"/>
      <c r="C2" s="1" t="n"/>
      <c r="D2" s="1" t="n"/>
      <c r="E2" s="1" t="n"/>
      <c r="F2" s="1" t="n"/>
      <c r="G2" s="1" t="n"/>
      <c r="H2" s="1" t="n"/>
      <c r="I2" s="1" t="n"/>
      <c r="J2" s="1" t="n"/>
      <c r="K2" s="1" t="n"/>
      <c r="L2" s="1" t="n"/>
      <c r="M2" s="1" t="n"/>
      <c r="N2" s="1" t="n"/>
      <c r="O2" s="1" t="n"/>
      <c r="P2" s="1" t="n"/>
      <c r="Q2" s="1" t="n"/>
      <c r="R2" s="1" t="n"/>
      <c r="S2" s="1" t="n"/>
      <c r="T2" s="1" t="n"/>
      <c r="U2" s="1" t="n"/>
      <c r="V2" s="1" t="n"/>
      <c r="W2" s="1" t="n"/>
      <c r="X2" s="1" t="n"/>
      <c r="Y2" s="1" t="n"/>
      <c r="Z2" s="1" t="n"/>
      <c r="AA2" s="1" t="n"/>
      <c r="AB2" s="1" t="n"/>
      <c r="AC2" s="1" t="n"/>
      <c r="AD2" s="1" t="n"/>
      <c r="AE2" s="1" t="n"/>
      <c r="AF2" s="1" t="n"/>
      <c r="AG2" s="1" t="n"/>
    </row>
    <row r="3" ht="24" customHeight="1" s="124">
      <c r="A3" s="115" t="inlineStr">
        <is>
          <t>入力の目安：数式が入っていない列を優先して入力します。プルダウン候補は「辞書設定」で管理します。サンプル行は削除または上書きできます。数式列は自動計算されます。</t>
        </is>
      </c>
      <c r="B3" s="1" t="n"/>
      <c r="C3" s="1" t="n"/>
      <c r="D3" s="1" t="n"/>
      <c r="E3" s="1" t="n"/>
      <c r="F3" s="1" t="n"/>
      <c r="G3" s="1" t="n"/>
      <c r="H3" s="1" t="n"/>
      <c r="I3" s="1" t="n"/>
      <c r="J3" s="1" t="n"/>
      <c r="K3" s="1" t="n"/>
      <c r="L3" s="1" t="n"/>
      <c r="M3" s="1" t="n"/>
      <c r="N3" s="1" t="n"/>
      <c r="O3" s="1" t="n"/>
      <c r="P3" s="1" t="n"/>
      <c r="Q3" s="1" t="n"/>
      <c r="R3" s="1" t="n"/>
      <c r="S3" s="1" t="n"/>
      <c r="T3" s="1" t="n"/>
      <c r="U3" s="1" t="n"/>
      <c r="V3" s="1" t="n"/>
      <c r="W3" s="1" t="n"/>
      <c r="X3" s="1" t="n"/>
      <c r="Y3" s="1" t="n"/>
      <c r="Z3" s="1" t="n"/>
      <c r="AA3" s="1" t="n"/>
      <c r="AB3" s="1" t="n"/>
      <c r="AC3" s="1" t="n"/>
      <c r="AD3" s="1" t="n"/>
      <c r="AE3" s="1" t="n"/>
      <c r="AF3" s="1" t="n"/>
      <c r="AG3" s="1" t="n"/>
    </row>
    <row r="4" ht="28" customHeight="1" s="124">
      <c r="A4" s="31" t="inlineStr">
        <is>
          <t>伝票番号</t>
        </is>
      </c>
      <c r="B4" s="31" t="inlineStr">
        <is>
          <t>業務シーン</t>
        </is>
      </c>
      <c r="C4" s="31" t="inlineStr">
        <is>
          <t>現場／会社</t>
        </is>
      </c>
      <c r="D4" s="31" t="inlineStr">
        <is>
          <t>工区／エリア</t>
        </is>
      </c>
      <c r="E4" s="31" t="inlineStr">
        <is>
          <t>仕入先</t>
        </is>
      </c>
      <c r="F4" s="31" t="inlineStr">
        <is>
          <t>資材分類</t>
        </is>
      </c>
      <c r="G4" s="31" t="inlineStr">
        <is>
          <t>資材名</t>
        </is>
      </c>
      <c r="H4" s="31" t="inlineStr">
        <is>
          <t>仕様・型式</t>
        </is>
      </c>
      <c r="I4" s="31" t="inlineStr">
        <is>
          <t>ブランド／メーカー</t>
        </is>
      </c>
      <c r="J4" s="31" t="inlineStr">
        <is>
          <t>単位</t>
        </is>
      </c>
      <c r="K4" s="31" t="inlineStr">
        <is>
          <t>契約／注文番号</t>
        </is>
      </c>
      <c r="L4" s="31" t="inlineStr">
        <is>
          <t>予定搬入日</t>
        </is>
      </c>
      <c r="M4" s="31" t="inlineStr">
        <is>
          <t>実搬入日</t>
        </is>
      </c>
      <c r="N4" s="31" t="inlineStr">
        <is>
          <t>車両番号／運転者</t>
        </is>
      </c>
      <c r="O4" s="31" t="inlineStr">
        <is>
          <t>納品書番号</t>
        </is>
      </c>
      <c r="P4" s="31" t="inlineStr">
        <is>
          <t>ロット／炉番号</t>
        </is>
      </c>
      <c r="Q4" s="31" t="inlineStr">
        <is>
          <t>計画数量</t>
        </is>
      </c>
      <c r="R4" s="31" t="inlineStr">
        <is>
          <t>実受入数量</t>
        </is>
      </c>
      <c r="S4" s="31" t="inlineStr">
        <is>
          <t>単価</t>
        </is>
      </c>
      <c r="T4" s="31" t="inlineStr">
        <is>
          <t>金額</t>
        </is>
      </c>
      <c r="U4" s="31" t="inlineStr">
        <is>
          <t>受入状態</t>
        </is>
      </c>
      <c r="V4" s="31" t="inlineStr">
        <is>
          <t>書類状態</t>
        </is>
      </c>
      <c r="W4" s="31" t="inlineStr">
        <is>
          <t>検査要いいえ</t>
        </is>
      </c>
      <c r="X4" s="31" t="inlineStr">
        <is>
          <t>検査状態</t>
        </is>
      </c>
      <c r="Y4" s="31" t="inlineStr">
        <is>
          <t>入庫有無</t>
        </is>
      </c>
      <c r="Z4" s="31" t="inlineStr">
        <is>
          <t>入庫番号</t>
        </is>
      </c>
      <c r="AA4" s="31" t="inlineStr">
        <is>
          <t>保管場所</t>
        </is>
      </c>
      <c r="AB4" s="31" t="inlineStr">
        <is>
          <t>処理担当</t>
        </is>
      </c>
      <c r="AC4" s="31" t="inlineStr">
        <is>
          <t>受入担当</t>
        </is>
      </c>
      <c r="AD4" s="31" t="inlineStr">
        <is>
          <t>備考</t>
        </is>
      </c>
      <c r="AE4" s="31" t="inlineStr">
        <is>
          <t>遅延日数</t>
        </is>
      </c>
      <c r="AF4" s="31" t="inlineStr">
        <is>
          <t>不足数量</t>
        </is>
      </c>
      <c r="AG4" s="31" t="inlineStr">
        <is>
          <t>リスク表示</t>
        </is>
      </c>
    </row>
    <row r="5">
      <c r="A5" s="86">
        <f>IF($C5="","","JC-"&amp;TEXT(ROW()-4,"0000"))</f>
        <v/>
      </c>
      <c r="B5" s="86" t="inlineStr">
        <is>
          <t>予定搬入</t>
        </is>
      </c>
      <c r="C5" s="86" t="inlineStr">
        <is>
          <t>A現場</t>
        </is>
      </c>
      <c r="D5" s="86" t="inlineStr">
        <is>
          <t>躯体工事</t>
        </is>
      </c>
      <c r="E5" s="86" t="inlineStr">
        <is>
          <t>関東鋼材株式会社</t>
        </is>
      </c>
      <c r="F5" s="86" t="inlineStr">
        <is>
          <t>鉄筋</t>
        </is>
      </c>
      <c r="G5" s="86" t="inlineStr">
        <is>
          <t>HRB400E鉄筋</t>
        </is>
      </c>
      <c r="H5" s="86" t="inlineStr">
        <is>
          <t>Φ18</t>
        </is>
      </c>
      <c r="I5" s="86" t="inlineStr">
        <is>
          <t>日本製鉄</t>
        </is>
      </c>
      <c r="J5" s="86" t="inlineStr">
        <is>
          <t>トン</t>
        </is>
      </c>
      <c r="K5" s="86" t="inlineStr">
        <is>
          <t>PO-2026-001</t>
        </is>
      </c>
      <c r="L5" s="132" t="n">
        <v>46147</v>
      </c>
      <c r="M5" s="132" t="n">
        <v>46148</v>
      </c>
      <c r="N5" s="86" t="inlineStr">
        <is>
          <t>練馬500あ1234／佐藤太郎</t>
        </is>
      </c>
      <c r="O5" s="86" t="inlineStr">
        <is>
          <t>DL-0001</t>
        </is>
      </c>
      <c r="P5" s="86" t="inlineStr">
        <is>
          <t>B20260506</t>
        </is>
      </c>
      <c r="Q5" s="131" t="n">
        <v>60</v>
      </c>
      <c r="R5" s="131" t="n">
        <v>58</v>
      </c>
      <c r="S5" s="131" t="n">
        <v>3800</v>
      </c>
      <c r="T5" s="131">
        <f>IF($C5="","",IFERROR($R5*$S5,""))</f>
        <v/>
      </c>
      <c r="U5" s="86" t="inlineStr">
        <is>
          <t>一部受入</t>
        </is>
      </c>
      <c r="V5" s="86" t="inlineStr">
        <is>
          <t>完備</t>
        </is>
      </c>
      <c r="W5" s="86" t="inlineStr">
        <is>
          <t>立会い採取</t>
        </is>
      </c>
      <c r="X5" s="86" t="inlineStr">
        <is>
          <t>検査待ち</t>
        </is>
      </c>
      <c r="Y5" s="86" t="inlineStr">
        <is>
          <t>一部</t>
        </is>
      </c>
      <c r="Z5" s="86" t="inlineStr">
        <is>
          <t>RK-0001</t>
        </is>
      </c>
      <c r="AA5" s="86" t="inlineStr">
        <is>
          <t>鉄筋置場A</t>
        </is>
      </c>
      <c r="AB5" s="86" t="inlineStr">
        <is>
          <t>資材担当</t>
        </is>
      </c>
      <c r="AC5" s="86" t="inlineStr">
        <is>
          <t>品質担当</t>
        </is>
      </c>
      <c r="AD5" s="86" t="inlineStr">
        <is>
          <t>2トン不足。追納待ち</t>
        </is>
      </c>
      <c r="AE5" s="133">
        <f>IF($C5="","",IF($L5="","",MAX(0,IF($M5="",TODAY(),$M5)-$L5)))</f>
        <v/>
      </c>
      <c r="AF5" s="133">
        <f>IF($C5="","",IF(OR($Q5="",$R5=""),"",MAX(0,$Q5-$R5)))</f>
        <v/>
      </c>
      <c r="AG5" s="86">
        <f>IF($C5="","",TEXTJOIN("、",TRUE,IF($AE5&gt;0,"期限超過"&amp;$AE5&amp;"日",""),IF($AF5&gt;0,"不足"&amp;$AF5,""),IF($U5="不適合","受入不適合",""),IF($V5="不足","書類不足",""),IF($X5="検査待ち","検査未完了",""),IF($Y5="いいえ","未入庫","")))</f>
        <v/>
      </c>
    </row>
    <row r="6">
      <c r="A6" s="86">
        <f>IF($C6="","","JC-"&amp;TEXT(ROW()-4,"0000"))</f>
        <v/>
      </c>
      <c r="B6" s="86" t="inlineStr">
        <is>
          <t>分納搬入</t>
        </is>
      </c>
      <c r="C6" s="86" t="inlineStr">
        <is>
          <t>A現場</t>
        </is>
      </c>
      <c r="D6" s="86" t="inlineStr">
        <is>
          <t>躯体工事</t>
        </is>
      </c>
      <c r="E6" s="86" t="inlineStr">
        <is>
          <t>東京生コン供給センター</t>
        </is>
      </c>
      <c r="F6" s="86" t="inlineStr">
        <is>
          <t>生コン</t>
        </is>
      </c>
      <c r="G6" s="86" t="inlineStr">
        <is>
          <t>レディーミクストコンクリート</t>
        </is>
      </c>
      <c r="H6" s="86" t="inlineStr">
        <is>
          <t>C30</t>
        </is>
      </c>
      <c r="I6" s="86" t="inlineStr">
        <is>
          <t>生コンセンター</t>
        </is>
      </c>
      <c r="J6" s="86" t="inlineStr">
        <is>
          <t>m3</t>
        </is>
      </c>
      <c r="K6" s="86" t="inlineStr">
        <is>
          <t>PO-2026-002</t>
        </is>
      </c>
      <c r="L6" s="132" t="n">
        <v>46154</v>
      </c>
      <c r="M6" s="132" t="n">
        <v>46154</v>
      </c>
      <c r="N6" s="86" t="inlineStr">
        <is>
          <t>ミキサー車／鈴木一郎</t>
        </is>
      </c>
      <c r="O6" s="86" t="inlineStr">
        <is>
          <t>DL-0002</t>
        </is>
      </c>
      <c r="P6" s="86" t="inlineStr">
        <is>
          <t>C30-0512</t>
        </is>
      </c>
      <c r="Q6" s="131" t="n">
        <v>120</v>
      </c>
      <c r="R6" s="131" t="n">
        <v>120</v>
      </c>
      <c r="S6" s="131" t="n">
        <v>420</v>
      </c>
      <c r="T6" s="131">
        <f>IF($C6="","",IFERROR($R6*$S6,""))</f>
        <v/>
      </c>
      <c r="U6" s="86" t="inlineStr">
        <is>
          <t>合格</t>
        </is>
      </c>
      <c r="V6" s="86" t="inlineStr">
        <is>
          <t>完備</t>
        </is>
      </c>
      <c r="W6" s="86" t="inlineStr">
        <is>
          <t>現場再検査</t>
        </is>
      </c>
      <c r="X6" s="86" t="inlineStr">
        <is>
          <t>合格</t>
        </is>
      </c>
      <c r="Y6" s="86" t="inlineStr">
        <is>
          <t>直接使用</t>
        </is>
      </c>
      <c r="Z6" s="86" t="n"/>
      <c r="AA6" s="86" t="inlineStr">
        <is>
          <t>打設エリア</t>
        </is>
      </c>
      <c r="AB6" s="86" t="inlineStr">
        <is>
          <t>資材担当</t>
        </is>
      </c>
      <c r="AC6" s="86" t="inlineStr">
        <is>
          <t>監理者</t>
        </is>
      </c>
      <c r="AD6" s="86" t="inlineStr">
        <is>
          <t>打設前スランプ合格</t>
        </is>
      </c>
      <c r="AE6" s="133">
        <f>IF($C6="","",IF($L6="","",MAX(0,IF($M6="",TODAY(),$M6)-$L6)))</f>
        <v/>
      </c>
      <c r="AF6" s="133">
        <f>IF($C6="","",IF(OR($Q6="",$R6=""),"",MAX(0,$Q6-$R6)))</f>
        <v/>
      </c>
      <c r="AG6" s="86">
        <f>IF($C6="","",TEXTJOIN("、",TRUE,IF($AE6&gt;0,"期限超過"&amp;$AE6&amp;"日",""),IF($AF6&gt;0,"不足"&amp;$AF6,""),IF($U6="不適合","受入不適合",""),IF($V6="不足","書類不足",""),IF($X6="検査待ち","検査未完了",""),IF($Y6="いいえ","未入庫","")))</f>
        <v/>
      </c>
    </row>
    <row r="7">
      <c r="A7" s="86">
        <f>IF($C7="","","JC-"&amp;TEXT(ROW()-4,"0000"))</f>
        <v/>
      </c>
      <c r="B7" s="86" t="inlineStr">
        <is>
          <t>サンプル搬入</t>
        </is>
      </c>
      <c r="C7" s="86" t="inlineStr">
        <is>
          <t>B現場</t>
        </is>
      </c>
      <c r="D7" s="86" t="inlineStr">
        <is>
          <t>地下階</t>
        </is>
      </c>
      <c r="E7" s="86" t="inlineStr">
        <is>
          <t>東都防水材株式会社</t>
        </is>
      </c>
      <c r="F7" s="86" t="inlineStr">
        <is>
          <t>防水材</t>
        </is>
      </c>
      <c r="G7" s="86" t="inlineStr">
        <is>
          <t>SBS改質アスファルト防水シート</t>
        </is>
      </c>
      <c r="H7" s="86" t="inlineStr">
        <is>
          <t>4mm</t>
        </is>
      </c>
      <c r="I7" s="86" t="inlineStr">
        <is>
          <t>東都防水</t>
        </is>
      </c>
      <c r="J7" s="86" t="inlineStr">
        <is>
          <t>m2</t>
        </is>
      </c>
      <c r="K7" s="86" t="inlineStr">
        <is>
          <t>PO-2026-003</t>
        </is>
      </c>
      <c r="L7" s="132" t="n">
        <v>46162</v>
      </c>
      <c r="M7" s="132" t="n"/>
      <c r="N7" s="86" t="n"/>
      <c r="O7" s="86" t="n"/>
      <c r="P7" s="86" t="n"/>
      <c r="Q7" s="131" t="n">
        <v>500</v>
      </c>
      <c r="R7" s="131" t="n"/>
      <c r="S7" s="131" t="n">
        <v>32</v>
      </c>
      <c r="T7" s="131">
        <f>IF($C7="","",IFERROR($R7*$S7,""))</f>
        <v/>
      </c>
      <c r="U7" s="86" t="inlineStr">
        <is>
          <t>受入待ち</t>
        </is>
      </c>
      <c r="V7" s="86" t="inlineStr">
        <is>
          <t>要補足</t>
        </is>
      </c>
      <c r="W7" s="86" t="inlineStr">
        <is>
          <t>第三者検査へ送付</t>
        </is>
      </c>
      <c r="X7" s="86" t="inlineStr">
        <is>
          <t>検査待ち</t>
        </is>
      </c>
      <c r="Y7" s="86" t="inlineStr">
        <is>
          <t>いいえ</t>
        </is>
      </c>
      <c r="Z7" s="86" t="n"/>
      <c r="AA7" s="86" t="inlineStr">
        <is>
          <t>サンプル仮置場</t>
        </is>
      </c>
      <c r="AB7" s="86" t="inlineStr">
        <is>
          <t>資材担当</t>
        </is>
      </c>
      <c r="AC7" s="86" t="inlineStr">
        <is>
          <t>品質担当</t>
        </is>
      </c>
      <c r="AD7" s="86" t="inlineStr">
        <is>
          <t>サンプル検査待ち</t>
        </is>
      </c>
      <c r="AE7" s="133">
        <f>IF($C7="","",IF($L7="","",MAX(0,IF($M7="",TODAY(),$M7)-$L7)))</f>
        <v/>
      </c>
      <c r="AF7" s="133">
        <f>IF($C7="","",IF(OR($Q7="",$R7=""),"",MAX(0,$Q7-$R7)))</f>
        <v/>
      </c>
      <c r="AG7" s="86">
        <f>IF($C7="","",TEXTJOIN("、",TRUE,IF($AE7&gt;0,"期限超過"&amp;$AE7&amp;"日",""),IF($AF7&gt;0,"不足"&amp;$AF7,""),IF($U7="不適合","受入不適合",""),IF($V7="不足","書類不足",""),IF($X7="検査待ち","検査未完了",""),IF($Y7="いいえ","未入庫","")))</f>
        <v/>
      </c>
    </row>
    <row r="8">
      <c r="A8" s="86">
        <f>IF($C8="","","JC-"&amp;TEXT(ROW()-4,"0000"))</f>
        <v/>
      </c>
      <c r="B8" s="86" t="inlineStr">
        <is>
          <t>返品交換搬入</t>
        </is>
      </c>
      <c r="C8" s="86" t="inlineStr">
        <is>
          <t>C現場</t>
        </is>
      </c>
      <c r="D8" s="86" t="inlineStr">
        <is>
          <t>内装工事</t>
        </is>
      </c>
      <c r="E8" s="86" t="inlineStr">
        <is>
          <t>大和建具株式会社</t>
        </is>
      </c>
      <c r="F8" s="86" t="inlineStr">
        <is>
          <t>建具</t>
        </is>
      </c>
      <c r="G8" s="86" t="inlineStr">
        <is>
          <t>アルミサッシ</t>
        </is>
      </c>
      <c r="H8" s="86" t="inlineStr">
        <is>
          <t>90シリーズ</t>
        </is>
      </c>
      <c r="I8" s="86" t="inlineStr">
        <is>
          <t>大和建具</t>
        </is>
      </c>
      <c r="J8" s="86" t="inlineStr">
        <is>
          <t>セット</t>
        </is>
      </c>
      <c r="K8" s="86" t="inlineStr">
        <is>
          <t>PO-2026-004</t>
        </is>
      </c>
      <c r="L8" s="132" t="n">
        <v>46151</v>
      </c>
      <c r="M8" s="132" t="n">
        <v>46153</v>
      </c>
      <c r="N8" s="86" t="inlineStr">
        <is>
          <t>品川500い6666／田中 健</t>
        </is>
      </c>
      <c r="O8" s="86" t="inlineStr">
        <is>
          <t>DL-0004</t>
        </is>
      </c>
      <c r="P8" s="86" t="inlineStr">
        <is>
          <t>WIN-0511</t>
        </is>
      </c>
      <c r="Q8" s="131" t="n">
        <v>30</v>
      </c>
      <c r="R8" s="131" t="n">
        <v>30</v>
      </c>
      <c r="S8" s="131" t="n">
        <v>980</v>
      </c>
      <c r="T8" s="131">
        <f>IF($C8="","",IFERROR($R8*$S8,""))</f>
        <v/>
      </c>
      <c r="U8" s="86" t="inlineStr">
        <is>
          <t>不適合</t>
        </is>
      </c>
      <c r="V8" s="86" t="inlineStr">
        <is>
          <t>不足</t>
        </is>
      </c>
      <c r="W8" s="86" t="inlineStr">
        <is>
          <t>検査免除</t>
        </is>
      </c>
      <c r="X8" s="86" t="inlineStr">
        <is>
          <t>不要</t>
        </is>
      </c>
      <c r="Y8" s="86" t="inlineStr">
        <is>
          <t>返却</t>
        </is>
      </c>
      <c r="Z8" s="86" t="n"/>
      <c r="AA8" s="86" t="inlineStr">
        <is>
          <t>返却仮置場</t>
        </is>
      </c>
      <c r="AB8" s="86" t="inlineStr">
        <is>
          <t>資材担当</t>
        </is>
      </c>
      <c r="AC8" s="86" t="inlineStr">
        <is>
          <t>品質担当</t>
        </is>
      </c>
      <c r="AD8" s="86" t="inlineStr">
        <is>
          <t>仕様が契約と不一致</t>
        </is>
      </c>
      <c r="AE8" s="133">
        <f>IF($C8="","",IF($L8="","",MAX(0,IF($M8="",TODAY(),$M8)-$L8)))</f>
        <v/>
      </c>
      <c r="AF8" s="133">
        <f>IF($C8="","",IF(OR($Q8="",$R8=""),"",MAX(0,$Q8-$R8)))</f>
        <v/>
      </c>
      <c r="AG8" s="86">
        <f>IF($C8="","",TEXTJOIN("、",TRUE,IF($AE8&gt;0,"期限超過"&amp;$AE8&amp;"日",""),IF($AF8&gt;0,"不足"&amp;$AF8,""),IF($U8="不適合","受入不適合",""),IF($V8="不足","書類不足",""),IF($X8="検査待ち","検査未完了",""),IF($Y8="いいえ","未入庫","")))</f>
        <v/>
      </c>
    </row>
  </sheetData>
  <mergeCells count="3">
    <mergeCell ref="A2:AG2"/>
    <mergeCell ref="A1:AG1"/>
    <mergeCell ref="A3:AG3"/>
  </mergeCells>
  <conditionalFormatting sqref="U5:U504">
    <cfRule type="expression" priority="1" dxfId="1">
      <formula>OR($U5="不適合",$U5="返却／受入拒いいえ")</formula>
    </cfRule>
    <cfRule type="expression" priority="2" dxfId="2">
      <formula>$U5="合格"</formula>
    </cfRule>
    <cfRule type="expression" priority="3" dxfId="3">
      <formula>OR($U5="受入待ち",$U5="一部受入")</formula>
    </cfRule>
  </conditionalFormatting>
  <conditionalFormatting sqref="X5:X504">
    <cfRule type="expression" priority="4" dxfId="0">
      <formula>OR($X5="検査待ち",$X5="検査中")</formula>
    </cfRule>
    <cfRule type="expression" priority="5" dxfId="1">
      <formula>$X5="不適合"</formula>
    </cfRule>
  </conditionalFormatting>
  <conditionalFormatting sqref="AE5:AF504">
    <cfRule type="cellIs" priority="6" operator="greaterThan" dxfId="6">
      <formula>0</formula>
    </cfRule>
  </conditionalFormatting>
  <conditionalFormatting sqref="AG5:AG504">
    <cfRule type="expression" priority="7" dxfId="7">
      <formula>LEN($AG5)&gt;0</formula>
    </cfRule>
  </conditionalFormatting>
  <dataValidations count="12">
    <dataValidation sqref="B5:B504" showDropDown="0" showInputMessage="0" showErrorMessage="0" allowBlank="0" type="list">
      <formula1>'辞書設定'!$A$5:$A$12</formula1>
    </dataValidation>
    <dataValidation sqref="C5:C504" showDropDown="0" showInputMessage="0" showErrorMessage="0" allowBlank="0" type="list">
      <formula1>'辞書設定'!$I$5:$I$11</formula1>
    </dataValidation>
    <dataValidation sqref="D5:D504" showDropDown="0" showInputMessage="0" showErrorMessage="0" allowBlank="0" type="list">
      <formula1>'辞書設定'!$J$5:$J$12</formula1>
    </dataValidation>
    <dataValidation sqref="F5:F504" showDropDown="0" showInputMessage="0" showErrorMessage="0" allowBlank="0" type="list">
      <formula1>'辞書設定'!$B$5:$B$18</formula1>
    </dataValidation>
    <dataValidation sqref="J5:J504" showDropDown="0" showInputMessage="0" showErrorMessage="0" allowBlank="0" type="list">
      <formula1>'辞書設定'!$C$5:$C$15</formula1>
    </dataValidation>
    <dataValidation sqref="U5:U504" showDropDown="0" showInputMessage="0" showErrorMessage="0" allowBlank="0" type="list">
      <formula1>'辞書設定'!$D$5:$D$9</formula1>
    </dataValidation>
    <dataValidation sqref="V5:V504" showDropDown="0" showInputMessage="0" showErrorMessage="0" allowBlank="0" type="list">
      <formula1>'辞書設定'!$E$5:$E$8</formula1>
    </dataValidation>
    <dataValidation sqref="W5:W504" showDropDown="0" showInputMessage="0" showErrorMessage="0" allowBlank="0" type="list">
      <formula1>'辞書設定'!$F$5:$F$9</formula1>
    </dataValidation>
    <dataValidation sqref="X5:X504" showDropDown="0" showInputMessage="0" showErrorMessage="0" allowBlank="0" type="list">
      <formula1>'辞書設定'!$G$5:$G$10</formula1>
    </dataValidation>
    <dataValidation sqref="Y5:Y504" showDropDown="0" showInputMessage="0" showErrorMessage="0" allowBlank="0" type="list">
      <formula1>'辞書設定'!$H$5:$H$9</formula1>
    </dataValidation>
    <dataValidation sqref="AB5:AB504" showDropDown="0" showInputMessage="0" showErrorMessage="0" allowBlank="0" type="list">
      <formula1>'辞書設定'!$K$5:$K$11</formula1>
    </dataValidation>
    <dataValidation sqref="AC5:AC504" showDropDown="0" showInputMessage="0" showErrorMessage="0" allowBlank="0" type="list">
      <formula1>'辞書設定'!$K$5:$K$11</formula1>
    </dataValidation>
  </dataValidations>
  <pageMargins left="0.7" right="0.7" top="0.75" bottom="0.75" header="0.3" footer="0.3"/>
  <tableParts count="1">
    <tablePart xmlns:r="http://schemas.openxmlformats.org/officeDocument/2006/relationships" r:id="rId1"/>
  </tableParts>
</worksheet>
</file>

<file path=xl/worksheets/sheet6.xml><?xml version="1.0" encoding="utf-8"?>
<worksheet xmlns="http://schemas.openxmlformats.org/spreadsheetml/2006/main">
  <sheetPr>
    <outlinePr summaryBelow="1" summaryRight="1"/>
    <pageSetUpPr/>
  </sheetPr>
  <dimension ref="A1:R7"/>
  <sheetViews>
    <sheetView workbookViewId="0">
      <selection activeCell="A1" sqref="A1"/>
    </sheetView>
  </sheetViews>
  <sheetFormatPr baseColWidth="8" defaultRowHeight="15"/>
  <cols>
    <col width="14" customWidth="1" style="124" min="1" max="2"/>
    <col width="24" customWidth="1" style="124" min="3" max="3"/>
    <col width="18" customWidth="1" style="124" min="4" max="4"/>
    <col width="14" customWidth="1" style="124" min="5" max="6"/>
    <col width="20" customWidth="1" style="124" min="7" max="7"/>
    <col width="16" customWidth="1" style="124" min="8" max="8"/>
    <col width="14" customWidth="1" style="124" min="9" max="9"/>
    <col width="12" customWidth="1" style="124" min="10" max="10"/>
    <col width="22" customWidth="1" style="124" min="11" max="11"/>
    <col width="12" customWidth="1" style="124" min="12" max="12"/>
    <col width="14" customWidth="1" style="124" min="13" max="13"/>
    <col width="12" customWidth="1" style="124" min="14" max="14"/>
    <col width="24" customWidth="1" style="124" min="15" max="16"/>
    <col width="12" customWidth="1" style="124" min="17" max="17"/>
    <col width="30" customWidth="1" style="124" min="18" max="18"/>
  </cols>
  <sheetData>
    <row r="1" ht="30" customHeight="1" s="124">
      <c r="A1" s="9" t="inlineStr">
        <is>
          <t>受入・検査記録</t>
        </is>
      </c>
      <c r="B1" s="1" t="n"/>
      <c r="C1" s="1" t="n"/>
      <c r="D1" s="1" t="n"/>
      <c r="E1" s="1" t="n"/>
      <c r="F1" s="1" t="n"/>
      <c r="G1" s="1" t="n"/>
      <c r="H1" s="1" t="n"/>
      <c r="I1" s="1" t="n"/>
      <c r="J1" s="1" t="n"/>
      <c r="K1" s="1" t="n"/>
      <c r="L1" s="1" t="n"/>
      <c r="M1" s="1" t="n"/>
      <c r="N1" s="1" t="n"/>
      <c r="O1" s="1" t="n"/>
      <c r="P1" s="1" t="n"/>
      <c r="Q1" s="1" t="n"/>
      <c r="R1" s="1" t="n"/>
    </row>
    <row r="2" ht="30" customHeight="1" s="124">
      <c r="A2" s="19" t="inlineStr">
        <is>
          <t>立会い採取、第三者検査、現場再検査、報告書の完了確認を記録します。関連伝票番号から搬入ロットを追跡できます。</t>
        </is>
      </c>
      <c r="B2" s="1" t="n"/>
      <c r="C2" s="1" t="n"/>
      <c r="D2" s="1" t="n"/>
      <c r="E2" s="1" t="n"/>
      <c r="F2" s="1" t="n"/>
      <c r="G2" s="1" t="n"/>
      <c r="H2" s="1" t="n"/>
      <c r="I2" s="1" t="n"/>
      <c r="J2" s="1" t="n"/>
      <c r="K2" s="1" t="n"/>
      <c r="L2" s="1" t="n"/>
      <c r="M2" s="1" t="n"/>
      <c r="N2" s="1" t="n"/>
      <c r="O2" s="1" t="n"/>
      <c r="P2" s="1" t="n"/>
      <c r="Q2" s="1" t="n"/>
      <c r="R2" s="1" t="n"/>
    </row>
    <row r="3" ht="24" customHeight="1" s="124">
      <c r="A3" s="115" t="inlineStr">
        <is>
          <t>入力の目安：数式が入っていない列を優先して入力します。プルダウン候補は「辞書設定」で管理します。サンプル行は削除または上書きできます。数式列は自動計算されます。</t>
        </is>
      </c>
      <c r="B3" s="1" t="n"/>
      <c r="C3" s="1" t="n"/>
      <c r="D3" s="1" t="n"/>
      <c r="E3" s="1" t="n"/>
      <c r="F3" s="1" t="n"/>
      <c r="G3" s="1" t="n"/>
      <c r="H3" s="1" t="n"/>
      <c r="I3" s="1" t="n"/>
      <c r="J3" s="1" t="n"/>
      <c r="K3" s="1" t="n"/>
      <c r="L3" s="1" t="n"/>
      <c r="M3" s="1" t="n"/>
      <c r="N3" s="1" t="n"/>
      <c r="O3" s="1" t="n"/>
      <c r="P3" s="1" t="n"/>
      <c r="Q3" s="1" t="n"/>
      <c r="R3" s="1" t="n"/>
    </row>
    <row r="4" ht="28" customHeight="1" s="124">
      <c r="A4" s="31" t="inlineStr">
        <is>
          <t>検査番号</t>
        </is>
      </c>
      <c r="B4" s="31" t="inlineStr">
        <is>
          <t>関連伝票番号</t>
        </is>
      </c>
      <c r="C4" s="31" t="inlineStr">
        <is>
          <t>資材名</t>
        </is>
      </c>
      <c r="D4" s="31" t="inlineStr">
        <is>
          <t>サンプル番号</t>
        </is>
      </c>
      <c r="E4" s="31" t="inlineStr">
        <is>
          <t>採取日</t>
        </is>
      </c>
      <c r="F4" s="31" t="inlineStr">
        <is>
          <t>検査種別</t>
        </is>
      </c>
      <c r="G4" s="31" t="inlineStr">
        <is>
          <t>検査機関</t>
        </is>
      </c>
      <c r="H4" s="31" t="inlineStr">
        <is>
          <t>報告番号</t>
        </is>
      </c>
      <c r="I4" s="31" t="inlineStr">
        <is>
          <t>報告日</t>
        </is>
      </c>
      <c r="J4" s="31" t="inlineStr">
        <is>
          <t>検査結果</t>
        </is>
      </c>
      <c r="K4" s="31" t="inlineStr">
        <is>
          <t>処置内容</t>
        </is>
      </c>
      <c r="L4" s="31" t="inlineStr">
        <is>
          <t>責任者</t>
        </is>
      </c>
      <c r="M4" s="31" t="inlineStr">
        <is>
          <t>期限</t>
        </is>
      </c>
      <c r="N4" s="31" t="inlineStr">
        <is>
          <t>完了状態</t>
        </is>
      </c>
      <c r="O4" s="31" t="inlineStr">
        <is>
          <t>添付／報告書パス</t>
        </is>
      </c>
      <c r="P4" s="31" t="inlineStr">
        <is>
          <t>備考</t>
        </is>
      </c>
      <c r="Q4" s="31" t="inlineStr">
        <is>
          <t>遅延日数</t>
        </is>
      </c>
      <c r="R4" s="31" t="inlineStr">
        <is>
          <t>リスク表示</t>
        </is>
      </c>
    </row>
    <row r="5">
      <c r="A5" s="86">
        <f>IF($B5="","","JY-"&amp;TEXT(ROW()-4,"0000"))</f>
        <v/>
      </c>
      <c r="B5" s="86" t="inlineStr">
        <is>
          <t>JC-0001</t>
        </is>
      </c>
      <c r="C5" s="86" t="inlineStr">
        <is>
          <t>HRB400E鉄筋</t>
        </is>
      </c>
      <c r="D5" s="86" t="inlineStr">
        <is>
          <t>YP-20260506-01</t>
        </is>
      </c>
      <c r="E5" s="132" t="n">
        <v>46148</v>
      </c>
      <c r="F5" s="86" t="inlineStr">
        <is>
          <t>立会い採取</t>
        </is>
      </c>
      <c r="G5" s="86" t="inlineStr">
        <is>
          <t>建材検査センター</t>
        </is>
      </c>
      <c r="H5" s="86" t="n"/>
      <c r="I5" s="132" t="n"/>
      <c r="J5" s="86" t="inlineStr">
        <is>
          <t>報告待ち</t>
        </is>
      </c>
      <c r="K5" s="86" t="inlineStr">
        <is>
          <t>報告待ち</t>
        </is>
      </c>
      <c r="L5" s="86" t="inlineStr">
        <is>
          <t>品質担当</t>
        </is>
      </c>
      <c r="M5" s="132" t="n">
        <v>46157</v>
      </c>
      <c r="N5" s="86" t="inlineStr">
        <is>
          <t>改善中</t>
        </is>
      </c>
      <c r="O5" s="86" t="n"/>
      <c r="P5" s="86" t="inlineStr">
        <is>
          <t>鉄筋の機械的性質</t>
        </is>
      </c>
      <c r="Q5" s="86">
        <f>IF($B5="","",IF(AND($N5&lt;&gt;"完了",$M5&lt;&gt;""),MAX(0,TODAY()-$M5),0))</f>
        <v/>
      </c>
      <c r="R5" s="86">
        <f>IF($B5="","",TEXTJOIN("、",TRUE,IF($J5="不適合","検査不適合",""),IF($Q5&gt;0,"完了遅延"&amp;$Q5&amp;"日",""),IF($N5="確認待ちちちち","確認待ちちちち","")))</f>
        <v/>
      </c>
    </row>
    <row r="6">
      <c r="A6" s="86">
        <f>IF($B6="","","JY-"&amp;TEXT(ROW()-4,"0000"))</f>
        <v/>
      </c>
      <c r="B6" s="86" t="inlineStr">
        <is>
          <t>JC-0002</t>
        </is>
      </c>
      <c r="C6" s="86" t="inlineStr">
        <is>
          <t>レディーミクストコンクリート</t>
        </is>
      </c>
      <c r="D6" s="86" t="inlineStr">
        <is>
          <t>YP-20260512-01</t>
        </is>
      </c>
      <c r="E6" s="132" t="n">
        <v>46154</v>
      </c>
      <c r="F6" s="86" t="inlineStr">
        <is>
          <t>現場再検査</t>
        </is>
      </c>
      <c r="G6" s="86" t="inlineStr">
        <is>
          <t>現場品質管理</t>
        </is>
      </c>
      <c r="H6" s="86" t="inlineStr">
        <is>
          <t>BG-20260512</t>
        </is>
      </c>
      <c r="I6" s="132" t="n">
        <v>46154</v>
      </c>
      <c r="J6" s="86" t="inlineStr">
        <is>
          <t>合格</t>
        </is>
      </c>
      <c r="K6" s="86" t="inlineStr">
        <is>
          <t>使用可</t>
        </is>
      </c>
      <c r="L6" s="86" t="inlineStr">
        <is>
          <t>品質担当</t>
        </is>
      </c>
      <c r="M6" s="132" t="n">
        <v>46154</v>
      </c>
      <c r="N6" s="86" t="inlineStr">
        <is>
          <t>完了</t>
        </is>
      </c>
      <c r="O6" s="86" t="n"/>
      <c r="P6" s="86" t="inlineStr">
        <is>
          <t>スランプ合格</t>
        </is>
      </c>
      <c r="Q6" s="86">
        <f>IF($B6="","",IF(AND($N6&lt;&gt;"完了",$M6&lt;&gt;""),MAX(0,TODAY()-$M6),0))</f>
        <v/>
      </c>
      <c r="R6" s="86">
        <f>IF($B6="","",TEXTJOIN("、",TRUE,IF($J6="不適合","検査不適合",""),IF($Q6&gt;0,"完了遅延"&amp;$Q6&amp;"日",""),IF($N6="確認待ちちちち","確認待ちちちち","")))</f>
        <v/>
      </c>
    </row>
    <row r="7">
      <c r="A7" s="86">
        <f>IF($B7="","","JY-"&amp;TEXT(ROW()-4,"0000"))</f>
        <v/>
      </c>
      <c r="B7" s="86" t="inlineStr">
        <is>
          <t>JC-0004</t>
        </is>
      </c>
      <c r="C7" s="86" t="inlineStr">
        <is>
          <t>アルミサッシ</t>
        </is>
      </c>
      <c r="D7" s="86" t="inlineStr">
        <is>
          <t>YP-20260511-01</t>
        </is>
      </c>
      <c r="E7" s="132" t="n">
        <v>46153</v>
      </c>
      <c r="F7" s="86" t="inlineStr">
        <is>
          <t>検査免除</t>
        </is>
      </c>
      <c r="G7" s="86" t="n"/>
      <c r="H7" s="86" t="n"/>
      <c r="I7" s="132" t="n"/>
      <c r="J7" s="86" t="inlineStr">
        <is>
          <t>対象外</t>
        </is>
      </c>
      <c r="K7" s="86" t="inlineStr">
        <is>
          <t>受入問題により返却</t>
        </is>
      </c>
      <c r="L7" s="86" t="inlineStr">
        <is>
          <t>品質担当</t>
        </is>
      </c>
      <c r="M7" s="132" t="n">
        <v>46155</v>
      </c>
      <c r="N7" s="86" t="inlineStr">
        <is>
          <t>確認待ちちち</t>
        </is>
      </c>
      <c r="O7" s="86" t="n"/>
      <c r="P7" s="86" t="inlineStr">
        <is>
          <t>仕様不一致</t>
        </is>
      </c>
      <c r="Q7" s="86">
        <f>IF($B7="","",IF(AND($N7&lt;&gt;"完了",$M7&lt;&gt;""),MAX(0,TODAY()-$M7),0))</f>
        <v/>
      </c>
      <c r="R7" s="86">
        <f>IF($B7="","",TEXTJOIN("、",TRUE,IF($J7="不適合","検査不適合",""),IF($Q7&gt;0,"完了遅延"&amp;$Q7&amp;"日",""),IF($N7="確認待ちちちち","確認待ちちちち","")))</f>
        <v/>
      </c>
    </row>
  </sheetData>
  <mergeCells count="3">
    <mergeCell ref="A3:R3"/>
    <mergeCell ref="A2:R2"/>
    <mergeCell ref="A1:R1"/>
  </mergeCells>
  <conditionalFormatting sqref="J5:J304">
    <cfRule type="expression" priority="1" dxfId="1">
      <formula>$J5="不適合"</formula>
    </cfRule>
    <cfRule type="expression" priority="2" dxfId="2">
      <formula>$J5="合格"</formula>
    </cfRule>
  </conditionalFormatting>
  <conditionalFormatting sqref="Q5:Q304">
    <cfRule type="cellIs" priority="3" operator="greaterThan" dxfId="6">
      <formula>0</formula>
    </cfRule>
  </conditionalFormatting>
  <conditionalFormatting sqref="R5:R304">
    <cfRule type="expression" priority="4" dxfId="7">
      <formula>LEN($R5)&gt;0</formula>
    </cfRule>
  </conditionalFormatting>
  <dataValidations count="4">
    <dataValidation sqref="F5:F304" showDropDown="0" showInputMessage="0" showErrorMessage="0" allowBlank="0" type="list">
      <formula1>'辞書設定'!$F$5:$F$9</formula1>
    </dataValidation>
    <dataValidation sqref="J5:J304" showDropDown="0" showInputMessage="0" showErrorMessage="0" allowBlank="0" type="list">
      <formula1>'辞書設定'!$R$5:$R$8</formula1>
    </dataValidation>
    <dataValidation sqref="L5:L304" showDropDown="0" showInputMessage="0" showErrorMessage="0" allowBlank="0" type="list">
      <formula1>'辞書設定'!$K$5:$K$11</formula1>
    </dataValidation>
    <dataValidation sqref="N5:N304" showDropDown="0" showInputMessage="0" showErrorMessage="0" allowBlank="0" type="list">
      <formula1>'辞書設定'!$O$5:$O$9</formula1>
    </dataValidation>
  </dataValidations>
  <pageMargins left="0.7" right="0.7" top="0.75" bottom="0.75" header="0.3" footer="0.3"/>
  <tableParts count="1">
    <tablePart xmlns:r="http://schemas.openxmlformats.org/officeDocument/2006/relationships" r:id="rId1"/>
  </tableParts>
</worksheet>
</file>

<file path=xl/worksheets/sheet7.xml><?xml version="1.0" encoding="utf-8"?>
<worksheet xmlns="http://schemas.openxmlformats.org/spreadsheetml/2006/main">
  <sheetPr>
    <outlinePr summaryBelow="1" summaryRight="1"/>
    <pageSetUpPr/>
  </sheetPr>
  <dimension ref="A1:R6"/>
  <sheetViews>
    <sheetView workbookViewId="0">
      <selection activeCell="A1" sqref="A1"/>
    </sheetView>
  </sheetViews>
  <sheetFormatPr baseColWidth="8" defaultRowHeight="15"/>
  <cols>
    <col width="14" customWidth="1" style="124" min="1" max="1"/>
    <col width="18" customWidth="1" style="124" min="2" max="2"/>
    <col width="14" customWidth="1" style="124" min="3" max="3"/>
    <col width="16" customWidth="1" style="124" min="4" max="4"/>
    <col width="30" customWidth="1" style="124" min="5" max="5"/>
    <col width="12" customWidth="1" style="124" min="6" max="6"/>
    <col width="20" customWidth="1" style="124" min="7" max="7"/>
    <col width="14" customWidth="1" style="124" min="8" max="10"/>
    <col width="28" customWidth="1" style="124" min="11" max="11"/>
    <col width="14" customWidth="1" style="124" min="12" max="13"/>
    <col width="12" customWidth="1" style="124" min="14" max="15"/>
    <col width="24" customWidth="1" style="124" min="16" max="16"/>
    <col width="12" customWidth="1" style="124" min="17" max="17"/>
    <col width="30" customWidth="1" style="124" min="18" max="18"/>
  </cols>
  <sheetData>
    <row r="1" ht="30" customHeight="1" s="124">
      <c r="A1" s="9" t="inlineStr">
        <is>
          <t>不適合・改善管理台帳</t>
        </is>
      </c>
      <c r="B1" s="1" t="n"/>
      <c r="C1" s="1" t="n"/>
      <c r="D1" s="1" t="n"/>
      <c r="E1" s="1" t="n"/>
      <c r="F1" s="1" t="n"/>
      <c r="G1" s="1" t="n"/>
      <c r="H1" s="1" t="n"/>
      <c r="I1" s="1" t="n"/>
      <c r="J1" s="1" t="n"/>
      <c r="K1" s="1" t="n"/>
      <c r="L1" s="1" t="n"/>
      <c r="M1" s="1" t="n"/>
      <c r="N1" s="1" t="n"/>
      <c r="O1" s="1" t="n"/>
      <c r="P1" s="1" t="n"/>
      <c r="Q1" s="1" t="n"/>
      <c r="R1" s="1" t="n"/>
    </row>
    <row r="2" ht="30" customHeight="1" s="124">
      <c r="A2" s="19" t="inlineStr">
        <is>
          <t>資材搬入、書類、検査、倉庫、現場フィードバックで発生した異常を記録し、責任者、改善期限、完了確認を追跡します。</t>
        </is>
      </c>
      <c r="B2" s="1" t="n"/>
      <c r="C2" s="1" t="n"/>
      <c r="D2" s="1" t="n"/>
      <c r="E2" s="1" t="n"/>
      <c r="F2" s="1" t="n"/>
      <c r="G2" s="1" t="n"/>
      <c r="H2" s="1" t="n"/>
      <c r="I2" s="1" t="n"/>
      <c r="J2" s="1" t="n"/>
      <c r="K2" s="1" t="n"/>
      <c r="L2" s="1" t="n"/>
      <c r="M2" s="1" t="n"/>
      <c r="N2" s="1" t="n"/>
      <c r="O2" s="1" t="n"/>
      <c r="P2" s="1" t="n"/>
      <c r="Q2" s="1" t="n"/>
      <c r="R2" s="1" t="n"/>
    </row>
    <row r="3" ht="24" customHeight="1" s="124">
      <c r="A3" s="115" t="inlineStr">
        <is>
          <t>入力の目安：数式が入っていない列を優先して入力します。プルダウン候補は「辞書設定」で管理します。サンプル行は削除または上書きできます。数式列は自動計算されます。</t>
        </is>
      </c>
      <c r="B3" s="1" t="n"/>
      <c r="C3" s="1" t="n"/>
      <c r="D3" s="1" t="n"/>
      <c r="E3" s="1" t="n"/>
      <c r="F3" s="1" t="n"/>
      <c r="G3" s="1" t="n"/>
      <c r="H3" s="1" t="n"/>
      <c r="I3" s="1" t="n"/>
      <c r="J3" s="1" t="n"/>
      <c r="K3" s="1" t="n"/>
      <c r="L3" s="1" t="n"/>
      <c r="M3" s="1" t="n"/>
      <c r="N3" s="1" t="n"/>
      <c r="O3" s="1" t="n"/>
      <c r="P3" s="1" t="n"/>
      <c r="Q3" s="1" t="n"/>
      <c r="R3" s="1" t="n"/>
    </row>
    <row r="4" ht="28" customHeight="1" s="124">
      <c r="A4" s="31" t="inlineStr">
        <is>
          <t>問題番号</t>
        </is>
      </c>
      <c r="B4" s="31" t="inlineStr">
        <is>
          <t>関連伝票／検査番号</t>
        </is>
      </c>
      <c r="C4" s="31" t="inlineStr">
        <is>
          <t>問題発生元</t>
        </is>
      </c>
      <c r="D4" s="31" t="inlineStr">
        <is>
          <t>問題種別</t>
        </is>
      </c>
      <c r="E4" s="31" t="inlineStr">
        <is>
          <t>問題内容</t>
        </is>
      </c>
      <c r="F4" s="31" t="inlineStr">
        <is>
          <t>重大度</t>
        </is>
      </c>
      <c r="G4" s="31" t="inlineStr">
        <is>
          <t>責任先</t>
        </is>
      </c>
      <c r="H4" s="31" t="inlineStr">
        <is>
          <t>責任者</t>
        </is>
      </c>
      <c r="I4" s="31" t="inlineStr">
        <is>
          <t>発見日</t>
        </is>
      </c>
      <c r="J4" s="31" t="inlineStr">
        <is>
          <t>改善期限</t>
        </is>
      </c>
      <c r="K4" s="31" t="inlineStr">
        <is>
          <t>改善内容</t>
        </is>
      </c>
      <c r="L4" s="31" t="inlineStr">
        <is>
          <t>改善状態</t>
        </is>
      </c>
      <c r="M4" s="31" t="inlineStr">
        <is>
          <t>完了日</t>
        </is>
      </c>
      <c r="N4" s="31" t="inlineStr">
        <is>
          <t>確認者</t>
        </is>
      </c>
      <c r="O4" s="31" t="inlineStr">
        <is>
          <t>控除／損失</t>
        </is>
      </c>
      <c r="P4" s="31" t="inlineStr">
        <is>
          <t>備考</t>
        </is>
      </c>
      <c r="Q4" s="31" t="inlineStr">
        <is>
          <t>遅延日数</t>
        </is>
      </c>
      <c r="R4" s="31" t="inlineStr">
        <is>
          <t>リスク表示</t>
        </is>
      </c>
    </row>
    <row r="5">
      <c r="A5" s="86">
        <f>IF($C5="","","WT-"&amp;TEXT(ROW()-4,"0000"))</f>
        <v/>
      </c>
      <c r="B5" s="86" t="inlineStr">
        <is>
          <t>JC-0001</t>
        </is>
      </c>
      <c r="C5" s="86" t="inlineStr">
        <is>
          <t>搬入受入</t>
        </is>
      </c>
      <c r="D5" s="86" t="inlineStr">
        <is>
          <t>数量不足</t>
        </is>
      </c>
      <c r="E5" s="86" t="inlineStr">
        <is>
          <t>計画60トンに対し、実受入58トン</t>
        </is>
      </c>
      <c r="F5" s="86" t="inlineStr">
        <is>
          <t>中</t>
        </is>
      </c>
      <c r="G5" s="86" t="inlineStr">
        <is>
          <t>関東鋼材株式会社</t>
        </is>
      </c>
      <c r="H5" s="86" t="inlineStr">
        <is>
          <t>仕入先担当</t>
        </is>
      </c>
      <c r="I5" s="132" t="n">
        <v>46148</v>
      </c>
      <c r="J5" s="132" t="n">
        <v>46156</v>
      </c>
      <c r="K5" s="86" t="inlineStr">
        <is>
          <t>2トンを追納、または精算で控除</t>
        </is>
      </c>
      <c r="L5" s="86" t="inlineStr">
        <is>
          <t>改善中</t>
        </is>
      </c>
      <c r="M5" s="132" t="n"/>
      <c r="N5" s="86" t="inlineStr">
        <is>
          <t>品質担当</t>
        </is>
      </c>
      <c r="O5" s="134" t="n">
        <v>0</v>
      </c>
      <c r="P5" s="86" t="inlineStr">
        <is>
          <t>追納待ち</t>
        </is>
      </c>
      <c r="Q5" s="86">
        <f>IF($C5="","",IF(AND($L5&lt;&gt;"完了",$J5&lt;&gt;""),MAX(0,TODAY()-$J5),0))</f>
        <v/>
      </c>
      <c r="R5" s="86">
        <f>IF($C5="","",TEXTJOIN("、",TRUE,IF($F5="高","高リスク",""),IF($F5="重大","重大リスク",""),IF($Q5&gt;0,"改善遅延"&amp;$Q5&amp;"日",""),IF($L5="確認待ちちちち","確認待ちちちち","")))</f>
        <v/>
      </c>
    </row>
    <row r="6">
      <c r="A6" s="86">
        <f>IF($C6="","","WT-"&amp;TEXT(ROW()-4,"0000"))</f>
        <v/>
      </c>
      <c r="B6" s="86" t="inlineStr">
        <is>
          <t>JC-0004</t>
        </is>
      </c>
      <c r="C6" s="86" t="inlineStr">
        <is>
          <t>搬入受入</t>
        </is>
      </c>
      <c r="D6" s="86" t="inlineStr">
        <is>
          <t>仕様不一致</t>
        </is>
      </c>
      <c r="E6" s="86" t="inlineStr">
        <is>
          <t>90シリーズのアルミサッシが契約仕様と一致しません</t>
        </is>
      </c>
      <c r="F6" s="86" t="inlineStr">
        <is>
          <t>高</t>
        </is>
      </c>
      <c r="G6" s="86" t="inlineStr">
        <is>
          <t>大和建具株式会社</t>
        </is>
      </c>
      <c r="H6" s="86" t="inlineStr">
        <is>
          <t>仕入先担当</t>
        </is>
      </c>
      <c r="I6" s="132" t="n">
        <v>46153</v>
      </c>
      <c r="J6" s="132" t="n">
        <v>46155</v>
      </c>
      <c r="K6" s="86" t="inlineStr">
        <is>
          <t>返却し、再納品を依頼</t>
        </is>
      </c>
      <c r="L6" s="86" t="inlineStr">
        <is>
          <t>確認待ちちち</t>
        </is>
      </c>
      <c r="M6" s="132" t="n"/>
      <c r="N6" s="86" t="inlineStr">
        <is>
          <t>品質担当</t>
        </is>
      </c>
      <c r="O6" s="134" t="n">
        <v>0</v>
      </c>
      <c r="P6" s="86" t="inlineStr">
        <is>
          <t>返却処理</t>
        </is>
      </c>
      <c r="Q6" s="86">
        <f>IF($C6="","",IF(AND($L6&lt;&gt;"完了",$J6&lt;&gt;""),MAX(0,TODAY()-$J6),0))</f>
        <v/>
      </c>
      <c r="R6" s="86">
        <f>IF($C6="","",TEXTJOIN("、",TRUE,IF($F6="高","高リスク",""),IF($F6="重大","重大リスク",""),IF($Q6&gt;0,"改善遅延"&amp;$Q6&amp;"日",""),IF($L6="確認待ちちちち","確認待ちちちち","")))</f>
        <v/>
      </c>
    </row>
  </sheetData>
  <mergeCells count="3">
    <mergeCell ref="A3:R3"/>
    <mergeCell ref="A2:R2"/>
    <mergeCell ref="A1:R1"/>
  </mergeCells>
  <conditionalFormatting sqref="F5:F304">
    <cfRule type="expression" priority="1" dxfId="1">
      <formula>OR($F5="高",$F5="重大")</formula>
    </cfRule>
  </conditionalFormatting>
  <conditionalFormatting sqref="Q5:Q304">
    <cfRule type="cellIs" priority="2" operator="greaterThan" dxfId="6">
      <formula>0</formula>
    </cfRule>
  </conditionalFormatting>
  <conditionalFormatting sqref="R5:R304">
    <cfRule type="expression" priority="3" dxfId="7">
      <formula>LEN($R5)&gt;0</formula>
    </cfRule>
  </conditionalFormatting>
  <dataValidations count="6">
    <dataValidation sqref="C5:C304" showDropDown="0" showInputMessage="0" showErrorMessage="0" allowBlank="0" type="list">
      <formula1>'辞書設定'!$L$5:$L$11</formula1>
    </dataValidation>
    <dataValidation sqref="D5:D304" showDropDown="0" showInputMessage="0" showErrorMessage="0" allowBlank="0" type="list">
      <formula1>'辞書設定'!$M$5:$M$12</formula1>
    </dataValidation>
    <dataValidation sqref="F5:F304" showDropDown="0" showInputMessage="0" showErrorMessage="0" allowBlank="0" type="list">
      <formula1>'辞書設定'!$N$5:$N$8</formula1>
    </dataValidation>
    <dataValidation sqref="H5:H304" showDropDown="0" showInputMessage="0" showErrorMessage="0" allowBlank="0" type="list">
      <formula1>'辞書設定'!$K$5:$K$11</formula1>
    </dataValidation>
    <dataValidation sqref="L5:L304" showDropDown="0" showInputMessage="0" showErrorMessage="0" allowBlank="0" type="list">
      <formula1>'辞書設定'!$O$5:$O$9</formula1>
    </dataValidation>
    <dataValidation sqref="N5:N304" showDropDown="0" showInputMessage="0" showErrorMessage="0" allowBlank="0" type="list">
      <formula1>'辞書設定'!$K$5:$K$11</formula1>
    </dataValidation>
  </dataValidations>
  <pageMargins left="0.7" right="0.7" top="0.75" bottom="0.75" header="0.3" footer="0.3"/>
  <tableParts count="1">
    <tablePart xmlns:r="http://schemas.openxmlformats.org/officeDocument/2006/relationships" r:id="rId1"/>
  </tableParts>
</worksheet>
</file>

<file path=xl/worksheets/sheet8.xml><?xml version="1.0" encoding="utf-8"?>
<worksheet xmlns="http://schemas.openxmlformats.org/spreadsheetml/2006/main">
  <sheetPr>
    <outlinePr summaryBelow="1" summaryRight="1"/>
    <pageSetUpPr/>
  </sheetPr>
  <dimension ref="A1:P7"/>
  <sheetViews>
    <sheetView workbookViewId="0">
      <selection activeCell="A1" sqref="A1"/>
    </sheetView>
  </sheetViews>
  <sheetFormatPr baseColWidth="8" defaultRowHeight="15"/>
  <cols>
    <col width="14" customWidth="1" style="124" min="1" max="3"/>
    <col width="18" customWidth="1" style="124" min="4" max="4"/>
    <col width="14" customWidth="1" style="124" min="5" max="5"/>
    <col width="24" customWidth="1" style="124" min="6" max="6"/>
    <col width="16" customWidth="1" style="124" min="7" max="7"/>
    <col width="10" customWidth="1" style="124" min="8" max="8"/>
    <col width="12" customWidth="1" style="124" min="9" max="10"/>
    <col width="14" customWidth="1" style="124" min="11" max="11"/>
    <col width="20" customWidth="1" style="124" min="12" max="12"/>
    <col width="14" customWidth="1" style="124" min="13" max="13"/>
    <col width="12" customWidth="1" style="124" min="14" max="15"/>
    <col width="28" customWidth="1" style="124" min="16" max="16"/>
  </cols>
  <sheetData>
    <row r="1" ht="30" customHeight="1" s="124">
      <c r="A1" s="9" t="inlineStr">
        <is>
          <t>入庫・返却・振替・払出履歴</t>
        </is>
      </c>
      <c r="B1" s="1" t="n"/>
      <c r="C1" s="1" t="n"/>
      <c r="D1" s="1" t="n"/>
      <c r="E1" s="1" t="n"/>
      <c r="F1" s="1" t="n"/>
      <c r="G1" s="1" t="n"/>
      <c r="H1" s="1" t="n"/>
      <c r="I1" s="1" t="n"/>
      <c r="J1" s="1" t="n"/>
      <c r="K1" s="1" t="n"/>
      <c r="L1" s="1" t="n"/>
      <c r="M1" s="1" t="n"/>
      <c r="N1" s="1" t="n"/>
      <c r="O1" s="1" t="n"/>
      <c r="P1" s="1" t="n"/>
    </row>
    <row r="2" ht="30" customHeight="1" s="124">
      <c r="A2" s="19" t="inlineStr">
        <is>
          <t>資材が搬入後に倉庫、仮置場、施工払出、返却、振替へ移る流れを記録します。搬入伝票番号と紐づけて追跡できます。</t>
        </is>
      </c>
      <c r="B2" s="1" t="n"/>
      <c r="C2" s="1" t="n"/>
      <c r="D2" s="1" t="n"/>
      <c r="E2" s="1" t="n"/>
      <c r="F2" s="1" t="n"/>
      <c r="G2" s="1" t="n"/>
      <c r="H2" s="1" t="n"/>
      <c r="I2" s="1" t="n"/>
      <c r="J2" s="1" t="n"/>
      <c r="K2" s="1" t="n"/>
      <c r="L2" s="1" t="n"/>
      <c r="M2" s="1" t="n"/>
      <c r="N2" s="1" t="n"/>
      <c r="O2" s="1" t="n"/>
      <c r="P2" s="1" t="n"/>
    </row>
    <row r="3" ht="24" customHeight="1" s="124">
      <c r="A3" s="115" t="inlineStr">
        <is>
          <t>入力の目安：数式が入っていない列を優先して入力します。プルダウン候補は「辞書設定」で管理します。サンプル行は削除または上書きできます。数式列は自動計算されます。</t>
        </is>
      </c>
      <c r="B3" s="1" t="n"/>
      <c r="C3" s="1" t="n"/>
      <c r="D3" s="1" t="n"/>
      <c r="E3" s="1" t="n"/>
      <c r="F3" s="1" t="n"/>
      <c r="G3" s="1" t="n"/>
      <c r="H3" s="1" t="n"/>
      <c r="I3" s="1" t="n"/>
      <c r="J3" s="1" t="n"/>
      <c r="K3" s="1" t="n"/>
      <c r="L3" s="1" t="n"/>
      <c r="M3" s="1" t="n"/>
      <c r="N3" s="1" t="n"/>
      <c r="O3" s="1" t="n"/>
      <c r="P3" s="1" t="n"/>
    </row>
    <row r="4" ht="28" customHeight="1" s="124">
      <c r="A4" s="31" t="inlineStr">
        <is>
          <t>履歴番号</t>
        </is>
      </c>
      <c r="B4" s="31" t="inlineStr">
        <is>
          <t>関連伝票番号</t>
        </is>
      </c>
      <c r="C4" s="31" t="inlineStr">
        <is>
          <t>業務種別</t>
        </is>
      </c>
      <c r="D4" s="31" t="inlineStr">
        <is>
          <t>現場／倉庫</t>
        </is>
      </c>
      <c r="E4" s="31" t="inlineStr">
        <is>
          <t>資材分類</t>
        </is>
      </c>
      <c r="F4" s="31" t="inlineStr">
        <is>
          <t>資材名</t>
        </is>
      </c>
      <c r="G4" s="31" t="inlineStr">
        <is>
          <t>仕様・型式</t>
        </is>
      </c>
      <c r="H4" s="31" t="inlineStr">
        <is>
          <t>単位</t>
        </is>
      </c>
      <c r="I4" s="31" t="inlineStr">
        <is>
          <t>数量</t>
        </is>
      </c>
      <c r="J4" s="31" t="inlineStr">
        <is>
          <t>単価</t>
        </is>
      </c>
      <c r="K4" s="31" t="inlineStr">
        <is>
          <t>金額</t>
        </is>
      </c>
      <c r="L4" s="31" t="inlineStr">
        <is>
          <t>出所／行先</t>
        </is>
      </c>
      <c r="M4" s="31" t="inlineStr">
        <is>
          <t>処理日</t>
        </is>
      </c>
      <c r="N4" s="31" t="inlineStr">
        <is>
          <t>処理担当</t>
        </is>
      </c>
      <c r="O4" s="31" t="inlineStr">
        <is>
          <t>承認者</t>
        </is>
      </c>
      <c r="P4" s="31" t="inlineStr">
        <is>
          <t>備考</t>
        </is>
      </c>
    </row>
    <row r="5">
      <c r="A5" s="86">
        <f>IF($B5="","","KC-"&amp;TEXT(ROW()-4,"0000"))</f>
        <v/>
      </c>
      <c r="B5" s="86" t="inlineStr">
        <is>
          <t>JC-0001</t>
        </is>
      </c>
      <c r="C5" s="86" t="inlineStr">
        <is>
          <t>入庫</t>
        </is>
      </c>
      <c r="D5" s="86" t="inlineStr">
        <is>
          <t>第1工区倉庫</t>
        </is>
      </c>
      <c r="E5" s="86" t="inlineStr">
        <is>
          <t>鉄筋</t>
        </is>
      </c>
      <c r="F5" s="86" t="inlineStr">
        <is>
          <t>HRB400E鉄筋</t>
        </is>
      </c>
      <c r="G5" s="86" t="inlineStr">
        <is>
          <t>Φ18</t>
        </is>
      </c>
      <c r="H5" s="86" t="inlineStr">
        <is>
          <t>トン</t>
        </is>
      </c>
      <c r="I5" s="131" t="n">
        <v>58</v>
      </c>
      <c r="J5" s="131" t="n">
        <v>3800</v>
      </c>
      <c r="K5" s="131">
        <f>IF($B5="","",IFERROR($I5*$J5,""))</f>
        <v/>
      </c>
      <c r="L5" s="86" t="inlineStr">
        <is>
          <t>関東鋼材株式会社</t>
        </is>
      </c>
      <c r="M5" s="132" t="n">
        <v>46148</v>
      </c>
      <c r="N5" s="86" t="inlineStr">
        <is>
          <t>倉庫担当</t>
        </is>
      </c>
      <c r="O5" s="86" t="inlineStr">
        <is>
          <t>資材担当</t>
        </is>
      </c>
      <c r="P5" s="86" t="inlineStr">
        <is>
          <t>一部入庫</t>
        </is>
      </c>
    </row>
    <row r="6">
      <c r="A6" s="86">
        <f>IF($B6="","","KC-"&amp;TEXT(ROW()-4,"0000"))</f>
        <v/>
      </c>
      <c r="B6" s="86" t="inlineStr">
        <is>
          <t>JC-0002</t>
        </is>
      </c>
      <c r="C6" s="86" t="inlineStr">
        <is>
          <t>直接使用</t>
        </is>
      </c>
      <c r="D6" s="86" t="inlineStr">
        <is>
          <t>A現場</t>
        </is>
      </c>
      <c r="E6" s="86" t="inlineStr">
        <is>
          <t>生コン</t>
        </is>
      </c>
      <c r="F6" s="86" t="inlineStr">
        <is>
          <t>レディーミクストコンクリート</t>
        </is>
      </c>
      <c r="G6" s="86" t="inlineStr">
        <is>
          <t>C30</t>
        </is>
      </c>
      <c r="H6" s="86" t="inlineStr">
        <is>
          <t>m3</t>
        </is>
      </c>
      <c r="I6" s="131" t="n">
        <v>120</v>
      </c>
      <c r="J6" s="131" t="n">
        <v>420</v>
      </c>
      <c r="K6" s="131">
        <f>IF($B6="","",IFERROR($I6*$J6,""))</f>
        <v/>
      </c>
      <c r="L6" s="86" t="inlineStr">
        <is>
          <t>打設エリア</t>
        </is>
      </c>
      <c r="M6" s="132" t="n">
        <v>46154</v>
      </c>
      <c r="N6" s="86" t="inlineStr">
        <is>
          <t>資材担当</t>
        </is>
      </c>
      <c r="O6" s="86" t="inlineStr">
        <is>
          <t>監理者</t>
        </is>
      </c>
      <c r="P6" s="86" t="inlineStr">
        <is>
          <t>打設に使用</t>
        </is>
      </c>
    </row>
    <row r="7">
      <c r="A7" s="86">
        <f>IF($B7="","","KC-"&amp;TEXT(ROW()-4,"0000"))</f>
        <v/>
      </c>
      <c r="B7" s="86" t="inlineStr">
        <is>
          <t>JC-0004</t>
        </is>
      </c>
      <c r="C7" s="86" t="inlineStr">
        <is>
          <t>返却</t>
        </is>
      </c>
      <c r="D7" s="86" t="inlineStr">
        <is>
          <t>返却仮置場</t>
        </is>
      </c>
      <c r="E7" s="86" t="inlineStr">
        <is>
          <t>建具</t>
        </is>
      </c>
      <c r="F7" s="86" t="inlineStr">
        <is>
          <t>アルミサッシ</t>
        </is>
      </c>
      <c r="G7" s="86" t="inlineStr">
        <is>
          <t>90シリーズ</t>
        </is>
      </c>
      <c r="H7" s="86" t="inlineStr">
        <is>
          <t>セット</t>
        </is>
      </c>
      <c r="I7" s="131" t="n">
        <v>30</v>
      </c>
      <c r="J7" s="131" t="n">
        <v>980</v>
      </c>
      <c r="K7" s="131">
        <f>IF($B7="","",IFERROR($I7*$J7,""))</f>
        <v/>
      </c>
      <c r="L7" s="86" t="inlineStr">
        <is>
          <t>大和建具株式会社</t>
        </is>
      </c>
      <c r="M7" s="132" t="n">
        <v>46153</v>
      </c>
      <c r="N7" s="86" t="inlineStr">
        <is>
          <t>倉庫担当</t>
        </is>
      </c>
      <c r="O7" s="86" t="inlineStr">
        <is>
          <t>品質担当</t>
        </is>
      </c>
      <c r="P7" s="86" t="inlineStr">
        <is>
          <t>仕様不一致返却</t>
        </is>
      </c>
    </row>
  </sheetData>
  <mergeCells count="3">
    <mergeCell ref="A1:P1"/>
    <mergeCell ref="A3:P3"/>
    <mergeCell ref="A2:P2"/>
  </mergeCells>
  <dataValidations count="6">
    <dataValidation sqref="C5:C404" showDropDown="0" showInputMessage="0" showErrorMessage="0" allowBlank="0" type="list">
      <formula1>'辞書設定'!$P$5:$P$10</formula1>
    </dataValidation>
    <dataValidation sqref="D5:D404" showDropDown="0" showInputMessage="0" showErrorMessage="0" allowBlank="0" type="list">
      <formula1>'辞書設定'!$I$5:$I$11</formula1>
    </dataValidation>
    <dataValidation sqref="E5:E404" showDropDown="0" showInputMessage="0" showErrorMessage="0" allowBlank="0" type="list">
      <formula1>'辞書設定'!$B$5:$B$18</formula1>
    </dataValidation>
    <dataValidation sqref="H5:H404" showDropDown="0" showInputMessage="0" showErrorMessage="0" allowBlank="0" type="list">
      <formula1>'辞書設定'!$C$5:$C$15</formula1>
    </dataValidation>
    <dataValidation sqref="N5:N404" showDropDown="0" showInputMessage="0" showErrorMessage="0" allowBlank="0" type="list">
      <formula1>'辞書設定'!$K$5:$K$11</formula1>
    </dataValidation>
    <dataValidation sqref="O5:O404" showDropDown="0" showInputMessage="0" showErrorMessage="0" allowBlank="0" type="list">
      <formula1>'辞書設定'!$K$5:$K$11</formula1>
    </dataValidation>
  </dataValidations>
  <pageMargins left="0.7" right="0.7" top="0.75" bottom="0.75" header="0.3" footer="0.3"/>
  <tableParts count="1">
    <tablePart xmlns:r="http://schemas.openxmlformats.org/officeDocument/2006/relationships" r:id="rId1"/>
  </tableParts>
</worksheet>
</file>

<file path=xl/worksheets/sheet9.xml><?xml version="1.0" encoding="utf-8"?>
<worksheet xmlns="http://schemas.openxmlformats.org/spreadsheetml/2006/main">
  <sheetPr>
    <outlinePr summaryBelow="1" summaryRight="1"/>
    <pageSetUpPr/>
  </sheetPr>
  <dimension ref="A1:P8"/>
  <sheetViews>
    <sheetView workbookViewId="0">
      <selection activeCell="A1" sqref="A1"/>
    </sheetView>
  </sheetViews>
  <sheetFormatPr baseColWidth="8" defaultRowHeight="15"/>
  <cols>
    <col width="14" customWidth="1" style="124" min="1" max="1"/>
    <col width="24" customWidth="1" style="124" min="2" max="2"/>
    <col width="14" customWidth="1" style="124" min="3" max="4"/>
    <col width="16" customWidth="1" style="124" min="5" max="5"/>
    <col width="14" customWidth="1" style="124" min="6" max="7"/>
    <col width="16" customWidth="1" style="124" min="8" max="8"/>
    <col width="12" customWidth="1" style="124" min="9" max="9"/>
    <col width="14" customWidth="1" style="124" min="10" max="12"/>
    <col width="12" customWidth="1" style="124" min="13" max="14"/>
    <col width="24" customWidth="1" style="124" min="15" max="15"/>
    <col width="34" customWidth="1" style="124" min="16" max="16"/>
  </cols>
  <sheetData>
    <row r="1" ht="30" customHeight="1" s="124">
      <c r="A1" s="9" t="inlineStr">
        <is>
          <t>仕入先情報と実績</t>
        </is>
      </c>
      <c r="B1" s="1" t="n"/>
      <c r="C1" s="1" t="n"/>
      <c r="D1" s="1" t="n"/>
      <c r="E1" s="1" t="n"/>
      <c r="F1" s="1" t="n"/>
      <c r="G1" s="1" t="n"/>
      <c r="H1" s="1" t="n"/>
      <c r="I1" s="1" t="n"/>
      <c r="J1" s="1" t="n"/>
      <c r="K1" s="1" t="n"/>
      <c r="L1" s="1" t="n"/>
      <c r="M1" s="1" t="n"/>
      <c r="N1" s="1" t="n"/>
      <c r="O1" s="1" t="n"/>
      <c r="P1" s="1" t="n"/>
    </row>
    <row r="2" ht="30" customHeight="1" s="124">
      <c r="A2" s="19" t="inlineStr">
        <is>
          <t>仕入先の基本情報、資格期限、評価を管理します。搬入ロット数、不適合ロット数、不適合率は「搬入台帳」から自動集計されます。</t>
        </is>
      </c>
      <c r="B2" s="1" t="n"/>
      <c r="C2" s="1" t="n"/>
      <c r="D2" s="1" t="n"/>
      <c r="E2" s="1" t="n"/>
      <c r="F2" s="1" t="n"/>
      <c r="G2" s="1" t="n"/>
      <c r="H2" s="1" t="n"/>
      <c r="I2" s="1" t="n"/>
      <c r="J2" s="1" t="n"/>
      <c r="K2" s="1" t="n"/>
      <c r="L2" s="1" t="n"/>
      <c r="M2" s="1" t="n"/>
      <c r="N2" s="1" t="n"/>
      <c r="O2" s="1" t="n"/>
      <c r="P2" s="1" t="n"/>
    </row>
    <row r="3" ht="24" customHeight="1" s="124">
      <c r="A3" s="115" t="inlineStr">
        <is>
          <t>入力の目安：数式が入っていない列を優先して入力します。プルダウン候補は「辞書設定」で管理します。サンプル行は削除または上書きできます。数式列は自動計算されます。</t>
        </is>
      </c>
      <c r="B3" s="1" t="n"/>
      <c r="C3" s="1" t="n"/>
      <c r="D3" s="1" t="n"/>
      <c r="E3" s="1" t="n"/>
      <c r="F3" s="1" t="n"/>
      <c r="G3" s="1" t="n"/>
      <c r="H3" s="1" t="n"/>
      <c r="I3" s="1" t="n"/>
      <c r="J3" s="1" t="n"/>
      <c r="K3" s="1" t="n"/>
      <c r="L3" s="1" t="n"/>
      <c r="M3" s="1" t="n"/>
      <c r="N3" s="1" t="n"/>
      <c r="O3" s="1" t="n"/>
      <c r="P3" s="1" t="n"/>
    </row>
    <row r="4" ht="28" customHeight="1" s="124">
      <c r="A4" s="31" t="inlineStr">
        <is>
          <t>仕入先番号</t>
        </is>
      </c>
      <c r="B4" s="31" t="inlineStr">
        <is>
          <t>仕入先名</t>
        </is>
      </c>
      <c r="C4" s="31" t="inlineStr">
        <is>
          <t>主な資材分類</t>
        </is>
      </c>
      <c r="D4" s="31" t="inlineStr">
        <is>
          <t>連絡先担当</t>
        </is>
      </c>
      <c r="E4" s="31" t="inlineStr">
        <is>
          <t>電話</t>
        </is>
      </c>
      <c r="F4" s="31" t="inlineStr">
        <is>
          <t>資格状態</t>
        </is>
      </c>
      <c r="G4" s="31" t="inlineStr">
        <is>
          <t>資格期限</t>
        </is>
      </c>
      <c r="H4" s="31" t="inlineStr">
        <is>
          <t>契約番号</t>
        </is>
      </c>
      <c r="I4" s="31" t="inlineStr">
        <is>
          <t>評価</t>
        </is>
      </c>
      <c r="J4" s="31" t="inlineStr">
        <is>
          <t>納期（日）</t>
        </is>
      </c>
      <c r="K4" s="31" t="inlineStr">
        <is>
          <t>直近納入日</t>
        </is>
      </c>
      <c r="L4" s="31" t="inlineStr">
        <is>
          <t>累計搬入ロット</t>
        </is>
      </c>
      <c r="M4" s="31" t="inlineStr">
        <is>
          <t>不適合ロット</t>
        </is>
      </c>
      <c r="N4" s="31" t="inlineStr">
        <is>
          <t>不適合率</t>
        </is>
      </c>
      <c r="O4" s="31" t="inlineStr">
        <is>
          <t>備考</t>
        </is>
      </c>
      <c r="P4" s="31" t="inlineStr">
        <is>
          <t>リスク表示</t>
        </is>
      </c>
    </row>
    <row r="5">
      <c r="A5" s="86">
        <f>IF($B5="","","GY-"&amp;TEXT(ROW()-4,"0000"))</f>
        <v/>
      </c>
      <c r="B5" s="86" t="inlineStr">
        <is>
          <t>関東鋼材株式会社</t>
        </is>
      </c>
      <c r="C5" s="86" t="inlineStr">
        <is>
          <t>鉄筋</t>
        </is>
      </c>
      <c r="D5" s="86" t="inlineStr">
        <is>
          <t>佐藤課長</t>
        </is>
      </c>
      <c r="E5" s="86" t="inlineStr">
        <is>
          <t>13800000001</t>
        </is>
      </c>
      <c r="F5" s="86" t="inlineStr">
        <is>
          <t>有効</t>
        </is>
      </c>
      <c r="G5" s="132" t="n">
        <v>46387</v>
      </c>
      <c r="H5" s="86" t="inlineStr">
        <is>
          <t>HT-2026-001</t>
        </is>
      </c>
      <c r="I5" s="86" t="inlineStr">
        <is>
          <t>A</t>
        </is>
      </c>
      <c r="J5" s="86" t="n">
        <v>3</v>
      </c>
      <c r="K5" s="132" t="n">
        <v>46148</v>
      </c>
      <c r="L5" s="86">
        <f>IF($B5="","",COUNTIF('搬入台帳'!$E$5:$E$504,$B5))</f>
        <v/>
      </c>
      <c r="M5" s="86">
        <f>IF($B5="","",COUNTIFS('搬入台帳'!$E$5:$E$504,$B5,'搬入台帳'!$U$5:$U$504,"不適合"))</f>
        <v/>
      </c>
      <c r="N5" s="135">
        <f>IF($B5="","",IFERROR($M5/$L5,0))</f>
        <v/>
      </c>
      <c r="O5" s="86" t="inlineStr">
        <is>
          <t>長期取引</t>
        </is>
      </c>
      <c r="P5" s="86">
        <f>IF($B5="","",TEXTJOIN("、",TRUE,IF($G5&lt;TODAY(),"資格期限切れ",""),IF(AND($G5&gt;=TODAY(),$G5&lt;=TODAY()+30),"資格が30日以内に期限切れ",""),IF($F5&lt;&gt;"有効","資格状態の確認が必要",""),IF($N5&gt;0.05,"不適合率高め",""),IF($I5="観察","仕入先観察","")))</f>
        <v/>
      </c>
    </row>
    <row r="6">
      <c r="A6" s="86">
        <f>IF($B6="","","GY-"&amp;TEXT(ROW()-4,"0000"))</f>
        <v/>
      </c>
      <c r="B6" s="86" t="inlineStr">
        <is>
          <t>東京生コン供給センター</t>
        </is>
      </c>
      <c r="C6" s="86" t="inlineStr">
        <is>
          <t>生コン</t>
        </is>
      </c>
      <c r="D6" s="86" t="inlineStr">
        <is>
          <t>鈴木課長</t>
        </is>
      </c>
      <c r="E6" s="86" t="inlineStr">
        <is>
          <t>13800000002</t>
        </is>
      </c>
      <c r="F6" s="86" t="inlineStr">
        <is>
          <t>有効</t>
        </is>
      </c>
      <c r="G6" s="132" t="n">
        <v>46265</v>
      </c>
      <c r="H6" s="86" t="inlineStr">
        <is>
          <t>HT-2026-002</t>
        </is>
      </c>
      <c r="I6" s="86" t="inlineStr">
        <is>
          <t>B</t>
        </is>
      </c>
      <c r="J6" s="86" t="n">
        <v>1</v>
      </c>
      <c r="K6" s="132" t="n">
        <v>46154</v>
      </c>
      <c r="L6" s="86">
        <f>IF($B6="","",COUNTIF('搬入台帳'!$E$5:$E$504,$B6))</f>
        <v/>
      </c>
      <c r="M6" s="86">
        <f>IF($B6="","",COUNTIFS('搬入台帳'!$E$5:$E$504,$B6,'搬入台帳'!$U$5:$U$504,"不適合"))</f>
        <v/>
      </c>
      <c r="N6" s="135">
        <f>IF($B6="","",IFERROR($M6/$L6,0))</f>
        <v/>
      </c>
      <c r="O6" s="86" t="inlineStr">
        <is>
          <t>納入ピークに注意</t>
        </is>
      </c>
      <c r="P6" s="86">
        <f>IF($B6="","",TEXTJOIN("、",TRUE,IF($G6&lt;TODAY(),"資格期限切れ",""),IF(AND($G6&gt;=TODAY(),$G6&lt;=TODAY()+30),"資格が30日以内に期限切れ",""),IF($F6&lt;&gt;"有効","資格状態の確認が必要",""),IF($N6&gt;0.05,"不適合率高め",""),IF($I6="観察","仕入先観察","")))</f>
        <v/>
      </c>
    </row>
    <row r="7">
      <c r="A7" s="86">
        <f>IF($B7="","","GY-"&amp;TEXT(ROW()-4,"0000"))</f>
        <v/>
      </c>
      <c r="B7" s="86" t="inlineStr">
        <is>
          <t>東都防水材株式会社</t>
        </is>
      </c>
      <c r="C7" s="86" t="inlineStr">
        <is>
          <t>防水材</t>
        </is>
      </c>
      <c r="D7" s="86" t="inlineStr">
        <is>
          <t>田中課長</t>
        </is>
      </c>
      <c r="E7" s="86" t="inlineStr">
        <is>
          <t>13800000003</t>
        </is>
      </c>
      <c r="F7" s="86" t="inlineStr">
        <is>
          <t>まもなく期限</t>
        </is>
      </c>
      <c r="G7" s="132" t="n">
        <v>46167</v>
      </c>
      <c r="H7" s="86" t="inlineStr">
        <is>
          <t>HT-2026-003</t>
        </is>
      </c>
      <c r="I7" s="86" t="inlineStr">
        <is>
          <t>B</t>
        </is>
      </c>
      <c r="J7" s="86" t="n">
        <v>5</v>
      </c>
      <c r="K7" s="132" t="n"/>
      <c r="L7" s="86">
        <f>IF($B7="","",COUNTIF('搬入台帳'!$E$5:$E$504,$B7))</f>
        <v/>
      </c>
      <c r="M7" s="86">
        <f>IF($B7="","",COUNTIFS('搬入台帳'!$E$5:$E$504,$B7,'搬入台帳'!$U$5:$U$504,"不適合"))</f>
        <v/>
      </c>
      <c r="N7" s="135">
        <f>IF($B7="","",IFERROR($M7/$L7,0))</f>
        <v/>
      </c>
      <c r="O7" s="86" t="inlineStr">
        <is>
          <t>書類補足待ち</t>
        </is>
      </c>
      <c r="P7" s="86">
        <f>IF($B7="","",TEXTJOIN("、",TRUE,IF($G7&lt;TODAY(),"資格期限切れ",""),IF(AND($G7&gt;=TODAY(),$G7&lt;=TODAY()+30),"資格が30日以内に期限切れ",""),IF($F7&lt;&gt;"有効","資格状態の確認が必要",""),IF($N7&gt;0.05,"不適合率高め",""),IF($I7="観察","仕入先観察","")))</f>
        <v/>
      </c>
    </row>
    <row r="8">
      <c r="A8" s="86">
        <f>IF($B8="","","GY-"&amp;TEXT(ROW()-4,"0000"))</f>
        <v/>
      </c>
      <c r="B8" s="86" t="inlineStr">
        <is>
          <t>大和建具株式会社</t>
        </is>
      </c>
      <c r="C8" s="86" t="inlineStr">
        <is>
          <t>建具</t>
        </is>
      </c>
      <c r="D8" s="86" t="inlineStr">
        <is>
          <t>高橋課長</t>
        </is>
      </c>
      <c r="E8" s="86" t="inlineStr">
        <is>
          <t>13800000004</t>
        </is>
      </c>
      <c r="F8" s="86" t="inlineStr">
        <is>
          <t>要補足</t>
        </is>
      </c>
      <c r="G8" s="132" t="n">
        <v>46142</v>
      </c>
      <c r="H8" s="86" t="inlineStr">
        <is>
          <t>HT-2026-004</t>
        </is>
      </c>
      <c r="I8" s="86" t="inlineStr">
        <is>
          <t>観察</t>
        </is>
      </c>
      <c r="J8" s="86" t="n">
        <v>7</v>
      </c>
      <c r="K8" s="132" t="n">
        <v>46153</v>
      </c>
      <c r="L8" s="86">
        <f>IF($B8="","",COUNTIF('搬入台帳'!$E$5:$E$504,$B8))</f>
        <v/>
      </c>
      <c r="M8" s="86">
        <f>IF($B8="","",COUNTIFS('搬入台帳'!$E$5:$E$504,$B8,'搬入台帳'!$U$5:$U$504,"不適合"))</f>
        <v/>
      </c>
      <c r="N8" s="135">
        <f>IF($B8="","",IFERROR($M8/$L8,0))</f>
        <v/>
      </c>
      <c r="O8" s="86" t="inlineStr">
        <is>
          <t>仕様差異を要観察</t>
        </is>
      </c>
      <c r="P8" s="86">
        <f>IF($B8="","",TEXTJOIN("、",TRUE,IF($G8&lt;TODAY(),"資格期限切れ",""),IF(AND($G8&gt;=TODAY(),$G8&lt;=TODAY()+30),"資格が30日以内に期限切れ",""),IF($F8&lt;&gt;"有効","資格状態の確認が必要",""),IF($N8&gt;0.05,"不適合率高め",""),IF($I8="観察","仕入先観察","")))</f>
        <v/>
      </c>
    </row>
  </sheetData>
  <mergeCells count="3">
    <mergeCell ref="A1:P1"/>
    <mergeCell ref="A3:P3"/>
    <mergeCell ref="A2:P2"/>
  </mergeCells>
  <conditionalFormatting sqref="G5:G104">
    <cfRule type="expression" priority="1" dxfId="6">
      <formula>AND($G5&lt;&gt;"",$G5&lt;TODAY()+30)</formula>
    </cfRule>
  </conditionalFormatting>
  <conditionalFormatting sqref="P5:P104">
    <cfRule type="expression" priority="2" dxfId="7">
      <formula>LEN($P5)&gt;0</formula>
    </cfRule>
  </conditionalFormatting>
  <dataValidations count="3">
    <dataValidation sqref="C5:C104" showDropDown="0" showInputMessage="0" showErrorMessage="0" allowBlank="0" type="list">
      <formula1>'辞書設定'!$B$5:$B$18</formula1>
    </dataValidation>
    <dataValidation sqref="F5:F104" showDropDown="0" showInputMessage="0" showErrorMessage="0" allowBlank="0" type="list">
      <formula1>'辞書設定'!$S$5:$S$9</formula1>
    </dataValidation>
    <dataValidation sqref="I5:I104" showDropDown="0" showInputMessage="0" showErrorMessage="0" allowBlank="0" type="list">
      <formula1>'辞書設定'!$T$5:$T$9</formula1>
    </dataValidation>
  </dataValidations>
  <pageMargins left="0.7" right="0.7" top="0.75" bottom="0.75" header="0.3" footer="0.3"/>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2026-05-11T12:27:49Z</dcterms:created>
  <dcterms:modified xmlns:dcterms="http://purl.org/dc/terms/" xmlns:xsi="http://www.w3.org/2001/XMLSchema-instance" xsi:type="dcterms:W3CDTF">2026-05-11T22:15:24Z</dcterms:modified>
</cp:coreProperties>
</file>