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  <Override PartName="/xl/drawings/charts/chart2.xml" ContentType="application/vnd.openxmlformats-officedocument.drawingml.char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b32846ab130048cc" Target="xl/workbook.xml" Type="http://schemas.openxmlformats.org/officeDocument/2006/relationships/officeDocument"></Relationship></Relationships>
</file>

<file path=xl/workbook.xml><?xml version="1.0" encoding="utf-8"?>
<workbook xmlns:x="http://schemas.openxmlformats.org/spreadsheetml/2006/main" xmlns="http://schemas.openxmlformats.org/spreadsheetml/2006/main" xmlns:r="http://schemas.openxmlformats.org/officeDocument/2006/relationships" xmlns:mc="http://schemas.openxmlformats.org/markup-compatibility/2006">
  <bookViews>
    <workbookView/>
  </bookViews>
  <sheets>
    <sheet name="使い方と設定" sheetId="1" r:id="R35a652555b224f37"/>
    <sheet name="ダッシュボード" sheetId="2" r:id="R39b43e5cb620453e"/>
    <sheet name="機材台帳" sheetId="3" r:id="Reace4319ccd94f1a"/>
    <sheet name="点検計画" sheetId="4" r:id="Rbe24ce7683d847b2"/>
    <sheet name="点検記録" sheetId="5" r:id="R8e535505297142d6"/>
    <sheet name="写真台帳" sheetId="6" r:id="Ra3001d72327044ba"/>
    <sheet name="改善・修理" sheetId="7" r:id="R0863ac80e62647e5"/>
    <sheet name="月次集計" sheetId="8" r:id="R5a8ee8a971cf448e"/>
    <sheet name="データ辞書" sheetId="9" r:id="R1784a60d398e4c3b"/>
  </sheets>
</workbook>
</file>

<file path=xl/sharedStrings.xml><?xml version="1.0" encoding="utf-8"?>
<sst xmlns="http://schemas.openxmlformats.org/spreadsheetml/2006/main" count="231" uniqueCount="231">
  <si>
    <t>建設機材点検記録テンプレート</t>
  </si>
  <si>
    <t>複数の会社、案件、現場で使えるテンプレートです。機材マスタ、点検計画、現場記録、写真確認、改善・修理、月次集計をまとめて管理できます。</t>
  </si>
  <si>
    <t>会社名称</t>
  </si>
  <si>
    <t>サンプル建設株式会社</t>
  </si>
  <si>
    <t>用于报表抬头，可替换为任意会社名称</t>
  </si>
  <si>
    <t>适配元請/協力会社/機材租赁/维保単位</t>
  </si>
  <si>
    <t>工程/案件</t>
  </si>
  <si>
    <t>中野レジデンス新築工事</t>
  </si>
  <si>
    <t>案件名称</t>
  </si>
  <si>
    <t>現場名称</t>
  </si>
  <si>
    <t>東京第一現場</t>
  </si>
  <si>
    <t>現場或标段名称</t>
  </si>
  <si>
    <t>支持单現場或多現場</t>
  </si>
  <si>
    <t>主要責任者</t>
  </si>
  <si>
    <t>佐藤健一</t>
  </si>
  <si>
    <t>現場責任者或機材管理者</t>
  </si>
  <si>
    <t>点検者</t>
  </si>
  <si>
    <t>默认点検者，可在記録中单独修改</t>
  </si>
  <si>
    <t>适合現場录入</t>
  </si>
  <si>
    <t>点検期间开始</t>
  </si>
  <si>
    <t>用于月次集計与計画</t>
  </si>
  <si>
    <t>点検期间结束</t>
  </si>
  <si>
    <t>周度基准日付</t>
  </si>
  <si>
    <t>ダッシュボード按该日付生成 7 天周計画视图</t>
  </si>
  <si>
    <t>改善再確認日付</t>
  </si>
  <si>
    <t>网页示例中的重要再確認日付，可作为マイルストーン</t>
  </si>
  <si>
    <t>默认改善日数</t>
  </si>
  <si>
    <t>点検記録判定需改善时自動生成默认改善期限</t>
  </si>
  <si>
    <t>写真最低件数</t>
  </si>
  <si>
    <t>現場記録推奨上传的最低写真枚数</t>
  </si>
  <si>
    <t>便于写真再確認</t>
  </si>
  <si>
    <t>先维护《データ辞書》</t>
  </si>
  <si>
    <t>按会社制度調整機材类别、点検種別、修理状態、優先度等プルダウン選択肢。</t>
  </si>
  <si>
    <t>建立《機材台帳》</t>
  </si>
  <si>
    <t>录入機材番号、类别、责任単位、点検頻度、はいいいえ需要写真/法定点検等主数据。</t>
  </si>
  <si>
    <t>编制《点検計画》</t>
  </si>
  <si>
    <t>按周/月/专项安排計画，指定責任者、計画日付和预计点検件数。</t>
  </si>
  <si>
    <t>填写《点検記録》</t>
  </si>
  <si>
    <t>現場按機材填写点検結果、リスクレベル、写真枚数和指摘説明；不合格自動标记需改善。</t>
  </si>
  <si>
    <t>维护《写真台帳》</t>
  </si>
  <si>
    <t>登録写真リンク/路径、拍摄人、再確認状態和补充意见，便于電話上传后的集中再確認。</t>
  </si>
  <si>
    <t>跟踪《改善・修理》</t>
  </si>
  <si>
    <t>对不合格、重大リスク或需要修理的案件建立改善闭环，跟踪责任方、期限、費用、検収結果。</t>
  </si>
  <si>
    <t>查看《ダッシュボード》和《月次集計》</t>
  </si>
  <si>
    <t>自動集計合格率、期限超過、改善、写真確認待ちちち和月次成本，支持朝礼/周报/月报。</t>
  </si>
  <si>
    <t>建筑機材点検管理模板：把機材点検、現場录入、写真確認与修理管理整理在一起；流程包括機材点検計画、現場录入、修理追踪、完了確認。</t>
  </si>
  <si>
    <t>https://finitefield.org/ja/excel-templates/construction/equipment-inspection-log/</t>
  </si>
  <si>
    <t>http://localhost:2020/ja/excel-templates/construction/equipment-inspection-log/</t>
  </si>
  <si>
    <t>ダッシュボード / 点検概要</t>
  </si>
  <si>
    <t>自動集計機材、点検、写真和改善状態。适合朝礼、周报、月报前速報。</t>
  </si>
  <si>
    <t>案件概况</t>
  </si>
  <si>
    <t>会社</t>
  </si>
  <si>
    <t>案件</t>
  </si>
  <si>
    <t>現場</t>
  </si>
  <si>
    <t>担当者</t>
  </si>
  <si>
    <t>点検期间</t>
  </si>
  <si>
    <t>改善再確認</t>
  </si>
  <si>
    <t>点検記録数</t>
  </si>
  <si>
    <t>点検合格率</t>
  </si>
  <si>
    <t>需改善点検</t>
  </si>
  <si>
    <t>期限超過改善</t>
  </si>
  <si>
    <t>稼働中機材</t>
  </si>
  <si>
    <t>今週計画数</t>
  </si>
  <si>
    <t>修理費用</t>
  </si>
  <si>
    <t>写真待対応</t>
  </si>
  <si>
    <t>点検結果</t>
  </si>
  <si>
    <t>件数</t>
  </si>
  <si>
    <t>日付</t>
  </si>
  <si>
    <t>計画点検量</t>
  </si>
  <si>
    <t>月</t>
  </si>
  <si>
    <t>火</t>
  </si>
  <si>
    <t>確認待ちちち</t>
  </si>
  <si>
    <t>水</t>
  </si>
  <si>
    <t>対象外</t>
  </si>
  <si>
    <t>木</t>
  </si>
  <si>
    <t>金</t>
  </si>
  <si>
    <t>土</t>
  </si>
  <si>
    <t>日</t>
  </si>
  <si>
    <t>高/重大リスク点検</t>
  </si>
  <si>
    <t>朝礼優先確認使用停止/复检/责任方</t>
  </si>
  <si>
    <t>单案件/小チーム</t>
  </si>
  <si>
    <t>保留 5 个核心モジュール即可：機材台帳、点検記録、写真台帳、改善・修理、月次集計。</t>
  </si>
  <si>
    <t>即時升级責任者并記録延期理由</t>
  </si>
  <si>
    <t>多現場/多協力会社</t>
  </si>
  <si>
    <t>承認済み“現場、責任会社、責任者区分、責任者”項目筛选并形成周計画。</t>
  </si>
  <si>
    <t>写真需补充</t>
  </si>
  <si>
    <t>通知現場补拍，关联改善后写真</t>
  </si>
  <si>
    <t>高リスク機材</t>
  </si>
  <si>
    <t>将重要ランク设为高/重大，并用 P1/P2 優先度跟踪使用停止、复检、検収。</t>
  </si>
  <si>
    <t>P1 改善</t>
  </si>
  <si>
    <t>停止機材或限定使用后再確認</t>
  </si>
  <si>
    <t>写真再確認</t>
  </si>
  <si>
    <t>用写真台帳登録路径、再確認状態、补拍要求，适配電話拍照上传。</t>
  </si>
  <si>
    <t>今週活跃計画</t>
  </si>
  <si>
    <t>月次集計保留点検、改善、費用和検収結果，支持审计追溯。</t>
  </si>
  <si>
    <t>機材台帳</t>
  </si>
  <si>
    <t>機材主数据はい点検計画、現場点検、写真和改善的ベース。推奨先维护本表，再填写その他表。</t>
  </si>
  <si>
    <t>機材番号</t>
  </si>
  <si>
    <t>機材类别</t>
  </si>
  <si>
    <t>機材名称</t>
  </si>
  <si>
    <t>所属会社</t>
  </si>
  <si>
    <t>責任者区分</t>
  </si>
  <si>
    <t>責任者</t>
  </si>
  <si>
    <t>点検頻度</t>
  </si>
  <si>
    <t>はいいいえ需写真</t>
  </si>
  <si>
    <t>法定点検</t>
  </si>
  <si>
    <t>有効日付</t>
  </si>
  <si>
    <t>下次点検日付</t>
  </si>
  <si>
    <t>機材状態</t>
  </si>
  <si>
    <t>備考</t>
  </si>
  <si>
    <t>足場</t>
  </si>
  <si>
    <t>落地式足場</t>
  </si>
  <si>
    <t>A協力会社</t>
  </si>
  <si>
    <t>協力会社</t>
  </si>
  <si>
    <t>1〜3階 外壁面</t>
  </si>
  <si>
    <t>佐藤太郎</t>
  </si>
  <si>
    <t>はい</t>
  </si>
  <si>
    <t>いいえ</t>
  </si>
  <si>
    <t>稼働中</t>
  </si>
  <si>
    <t>重点検查连墙件与脚手板</t>
  </si>
  <si>
    <t>仮設電気</t>
  </si>
  <si>
    <t>元請現場事務所</t>
  </si>
  <si>
    <t>自社</t>
  </si>
  <si>
    <t>現場北侧</t>
  </si>
  <si>
    <t>鈴木一郎</t>
  </si>
  <si>
    <t>揚重機</t>
  </si>
  <si>
    <t>工事用エレベーター</t>
  </si>
  <si>
    <t>機材リース会社B</t>
  </si>
  <si>
    <t>機材リース会社</t>
  </si>
  <si>
    <t>2号棟</t>
  </si>
  <si>
    <t>高橋健</t>
  </si>
  <si>
    <t>修理中</t>
  </si>
  <si>
    <t>消火器箱</t>
  </si>
  <si>
    <t>伊藤誠</t>
  </si>
  <si>
    <t>土工機械</t>
  </si>
  <si>
    <t>油圧ショベル</t>
  </si>
  <si>
    <t>リース会社C</t>
  </si>
  <si>
    <t>中村翔太</t>
  </si>
  <si>
    <t>コンクリート機材</t>
  </si>
  <si>
    <t>モルタルミキサー</t>
  </si>
  <si>
    <t>労務協力会社D</t>
  </si>
  <si>
    <t>小林亮</t>
  </si>
  <si>
    <t>使用停止</t>
  </si>
  <si>
    <t>使用停止期间仍需衛生用品检查</t>
  </si>
  <si>
    <t>点検計画</t>
  </si>
  <si>
    <t>用于周計画、月計画、专项检查、复点検和法定点検安排。可与機材台帳联动。</t>
  </si>
  <si>
    <t>計画番号</t>
  </si>
  <si>
    <t>点検種別</t>
  </si>
  <si>
    <t>計画开始</t>
  </si>
  <si>
    <t>計画结束</t>
  </si>
  <si>
    <t>責任会社</t>
  </si>
  <si>
    <t>計画点検数</t>
  </si>
  <si>
    <t>計画状態</t>
  </si>
  <si>
    <t>優先度</t>
  </si>
  <si>
    <t>关联会議/備考</t>
  </si>
  <si>
    <t>はいいいえ需复点検</t>
  </si>
  <si>
    <t>周点検</t>
  </si>
  <si>
    <t>点検者A</t>
  </si>
  <si>
    <t>完了</t>
  </si>
  <si>
    <t>足場点検</t>
  </si>
  <si>
    <t>日常点検</t>
  </si>
  <si>
    <t>点検者B</t>
  </si>
  <si>
    <t>進行中</t>
  </si>
  <si>
    <t>仮設電気重点</t>
  </si>
  <si>
    <t>专项点検</t>
  </si>
  <si>
    <t>点検者C</t>
  </si>
  <si>
    <t>計画中</t>
  </si>
  <si>
    <t>揚重機限位</t>
  </si>
  <si>
    <t>月次点検</t>
  </si>
  <si>
    <t>点検者D</t>
  </si>
  <si>
    <t>点検者E</t>
  </si>
  <si>
    <t>土工機械班前检查</t>
  </si>
  <si>
    <t>点検者F</t>
  </si>
  <si>
    <t>使用停止機材衛生用品</t>
  </si>
  <si>
    <t>点検記録</t>
  </si>
  <si>
    <t>現場录入マスタ：記録每次点検結果、リスク、指摘、改善期限、完了確認和期限超過状態。</t>
  </si>
  <si>
    <t>点検番号</t>
  </si>
  <si>
    <t>点検日付</t>
  </si>
  <si>
    <t>点検案件</t>
  </si>
  <si>
    <t>リスクレベル</t>
  </si>
  <si>
    <t>写真枚数</t>
  </si>
  <si>
    <t>指摘説明</t>
  </si>
  <si>
    <t>はいいいえ需改善</t>
  </si>
  <si>
    <t>改善期限</t>
  </si>
  <si>
    <t>改善状態</t>
  </si>
  <si>
    <t>完了日付</t>
  </si>
  <si>
    <t>検収人</t>
  </si>
  <si>
    <t>关联計画</t>
  </si>
  <si>
    <t>期限超過标记</t>
  </si>
  <si>
    <t>未着手</t>
  </si>
  <si>
    <t>検収待ち</t>
  </si>
  <si>
    <t>写真台帳</t>
  </si>
  <si>
    <t>用于登録現場写真路径/リンク、再確認状態、补充意见和关联指摘，适合電話上传后集中確認。</t>
  </si>
  <si>
    <t>写真番号</t>
  </si>
  <si>
    <t>写真種別</t>
  </si>
  <si>
    <t>写真リンク/路径</t>
  </si>
  <si>
    <t>拍摄日付</t>
  </si>
  <si>
    <t>再確認状態</t>
  </si>
  <si>
    <t>再確認日付</t>
  </si>
  <si>
    <t>关联指摘/場所</t>
  </si>
  <si>
    <t>点検前</t>
  </si>
  <si>
    <t>承認済み</t>
  </si>
  <si>
    <t>需补拍改善后写真</t>
  </si>
  <si>
    <t>增加视频或连续写真</t>
  </si>
  <si>
    <t>点検后</t>
  </si>
  <si>
    <t>改善・修理</t>
  </si>
  <si>
    <t>将点検中发现的指摘转为改善/修理闭环：责任方、期限、状態、検収、費用与期限超過统一跟踪。</t>
  </si>
  <si>
    <t>改善番号</t>
  </si>
  <si>
    <t>改善措施</t>
  </si>
  <si>
    <t>要求完了日付</t>
  </si>
  <si>
    <t>検収結果</t>
  </si>
  <si>
    <t>改善后补拍写真</t>
  </si>
  <si>
    <t>停机检修并出具复检記録</t>
  </si>
  <si>
    <t>改善前停止使用</t>
  </si>
  <si>
    <t>月次集計</t>
  </si>
  <si>
    <t>按年度/月次集計点検件数、合格率、改善、期限超過、写真再確認与修理費用，适合月报。</t>
  </si>
  <si>
    <t>点検件数</t>
  </si>
  <si>
    <t>需改善</t>
  </si>
  <si>
    <t>改善期限超過</t>
  </si>
  <si>
    <t>写真確認待ちちち/需补充</t>
  </si>
  <si>
    <t>データ辞書 / 選択肢</t>
  </si>
  <si>
    <t>维护各表プルダウン一覧。可按会社制度增删選択肢，その他工作表会引用这里的一覧。</t>
  </si>
  <si>
    <t>はいいいえ</t>
  </si>
  <si>
    <t>修理状態</t>
  </si>
  <si>
    <t>写真状態</t>
  </si>
  <si>
    <t>会社角色</t>
  </si>
  <si>
    <t>元請</t>
  </si>
  <si>
    <t>未承認済み</t>
  </si>
  <si>
    <t>复点検</t>
  </si>
  <si>
    <t>その他</t>
  </si>
  <si>
    <t>高处作业機材</t>
  </si>
</sst>
</file>

<file path=xl/styles.xml><?xml version="1.0" encoding="utf-8"?>
<styleSheet xmlns="http://schemas.openxmlformats.org/spreadsheetml/2006/main">
  <numFmts count="4">
    <numFmt numFmtId="200" formatCode="yyyy-mm-dd"/>
    <numFmt numFmtId="201" formatCode="0"/>
    <numFmt numFmtId="202" formatCode="¥#,##0"/>
    <numFmt numFmtId="203" formatCode="0.0%"/>
  </numFmts>
  <fonts count="10">
    <font>
      <sz val="11"/>
      <name val="Carlito"/>
    </font>
    <font>
      <b val="1"/>
      <sz val="18"/>
      <color rgb="FFFFFFFF"/>
      <name val="Carlito"/>
    </font>
    <font>
      <sz val="10"/>
      <color rgb="FF6B7280"/>
      <name val="Carlito"/>
    </font>
    <font>
      <b val="1"/>
      <sz val="10"/>
      <color rgb="FFFFFFFF"/>
      <name val="Carlito"/>
    </font>
    <font>
      <sz val="10"/>
      <color rgb="FF111827"/>
      <name val="Carlito"/>
    </font>
    <font>
      <b val="1"/>
      <sz val="12"/>
      <color rgb="FFFFFFFF"/>
      <name val="Carlito"/>
    </font>
    <font>
      <b val="1"/>
      <sz val="11"/>
      <color rgb="FF111827"/>
      <name val="Carlito"/>
    </font>
    <font>
      <b val="1"/>
      <sz val="10"/>
      <color rgb="FF111827"/>
      <name val="Carlito"/>
    </font>
    <font>
      <b val="1"/>
      <sz val="14"/>
      <color rgb="FF111827"/>
      <name val="Carlito"/>
    </font>
    <font>
      <b val="1"/>
      <sz val="11"/>
      <color rgb="FFFFFFFF"/>
      <name val="Carlito"/>
    </font>
  </fonts>
  <fills count="7">
    <fill>
      <patternFill patternType="none"/>
    </fill>
    <fill>
      <patternFill patternType="gray125"/>
    </fill>
    <fill>
      <patternFill patternType="solid">
        <fgColor rgb="FF1F2937"/>
      </patternFill>
    </fill>
    <fill>
      <patternFill patternType="solid">
        <fgColor rgb="FFF3F4F6"/>
      </patternFill>
    </fill>
    <fill>
      <patternFill patternType="solid">
        <fgColor rgb="FF0F766E"/>
      </patternFill>
    </fill>
    <fill>
      <patternFill patternType="solid">
        <fgColor rgb="FF115E59"/>
      </patternFill>
    </fill>
    <fill>
      <patternFill patternType="solid">
        <fgColor rgb="FFDBEAFE"/>
      </patternFill>
    </fill>
  </fills>
  <borders count="2">
    <border/>
    <border/>
  </borders>
  <cellStyleXfs count="1">
    <xf numFmtId="0" fontId="0" fillId="0" borderId="0"/>
  </cellStyleXfs>
  <cellXfs count="137">
    <xf numFmtId="0" fontId="0" fillId="0" borderId="0" xfId="0"/>
    <xf numFmtId="0" fontId="0" fillId="0" borderId="1" xfId="0" applyNumberFormat="true" applyFont="true" applyFill="true" applyBorder="true"/>
    <xf numFmtId="0" fontId="0" fillId="2" borderId="0" xfId="0" applyNumberFormat="true" applyFont="true" applyFill="true" applyBorder="true"/>
    <xf numFmtId="0" fontId="1" fillId="2" borderId="0" xfId="0" applyNumberFormat="true" applyFont="true" applyFill="true" applyBorder="true"/>
    <xf numFmtId="0" fontId="1" fillId="2" borderId="0" xfId="0" applyNumberFormat="true" applyFont="true" applyFill="true" applyBorder="true" applyAlignment="true">
      <alignment horizontal="left"/>
    </xf>
    <xf numFmtId="0" fontId="1" fillId="2" borderId="0" xfId="0" applyNumberFormat="true" applyFont="true" applyFill="true" applyBorder="true" applyAlignment="true">
      <alignment horizontal="left" vertical="center"/>
    </xf>
    <xf numFmtId="0" fontId="0" fillId="2" borderId="1" xfId="0" applyNumberFormat="true" applyFont="true" applyFill="true" applyBorder="true"/>
    <xf numFmtId="0" fontId="1" fillId="2" borderId="1" xfId="0" applyNumberFormat="true" applyFont="true" applyFill="true" applyBorder="true"/>
    <xf numFmtId="0" fontId="1" fillId="2" borderId="1" xfId="0" applyNumberFormat="true" applyFont="true" applyFill="true" applyBorder="true" applyAlignment="true">
      <alignment horizontal="left"/>
    </xf>
    <xf numFmtId="0" fontId="1" fillId="2" borderId="1" xfId="0" applyNumberFormat="true" applyFont="true" applyFill="true" applyBorder="true" applyAlignment="true">
      <alignment horizontal="left" vertical="center"/>
    </xf>
    <xf numFmtId="0" fontId="0" fillId="3" borderId="0" xfId="0" applyNumberFormat="true" applyFont="true" applyFill="true" applyBorder="true"/>
    <xf numFmtId="0" fontId="2" fillId="3" borderId="0" xfId="0" applyNumberFormat="true" applyFont="true" applyFill="true" applyBorder="true"/>
    <xf numFmtId="0" fontId="2" fillId="3" borderId="0" xfId="0" applyNumberFormat="true" applyFont="true" applyFill="true" applyBorder="true" applyAlignment="true">
      <alignment wrapText="true"/>
    </xf>
    <xf numFmtId="0" fontId="2" fillId="3" borderId="0" xfId="0" applyNumberFormat="true" applyFont="true" applyFill="true" applyBorder="true" applyAlignment="true">
      <alignment horizontal="left" wrapText="true"/>
    </xf>
    <xf numFmtId="0" fontId="2" fillId="3" borderId="0" xfId="0" applyNumberFormat="true" applyFont="true" applyFill="true" applyBorder="true" applyAlignment="true">
      <alignment horizontal="left" vertical="center" wrapText="true"/>
    </xf>
    <xf numFmtId="0" fontId="0" fillId="3" borderId="1" xfId="0" applyNumberFormat="true" applyFont="true" applyFill="true" applyBorder="true"/>
    <xf numFmtId="0" fontId="2" fillId="3" borderId="1" xfId="0" applyNumberFormat="true" applyFont="true" applyFill="true" applyBorder="true"/>
    <xf numFmtId="0" fontId="2" fillId="3" borderId="1" xfId="0" applyNumberFormat="true" applyFont="true" applyFill="true" applyBorder="true" applyAlignment="true">
      <alignment wrapText="true"/>
    </xf>
    <xf numFmtId="0" fontId="2" fillId="3" borderId="1" xfId="0" applyNumberFormat="true" applyFont="true" applyFill="true" applyBorder="true" applyAlignment="true">
      <alignment horizontal="left" wrapText="true"/>
    </xf>
    <xf numFmtId="0" fontId="2" fillId="3" borderId="1" xfId="0" applyNumberFormat="true" applyFont="true" applyFill="true" applyBorder="true" applyAlignment="true">
      <alignment horizontal="left" vertical="center" wrapText="true"/>
    </xf>
    <xf numFmtId="0" fontId="0" fillId="4" borderId="0" xfId="0" applyNumberFormat="true" applyFont="true" applyFill="true" applyBorder="true"/>
    <xf numFmtId="0" fontId="3" fillId="4" borderId="0" xfId="0" applyNumberFormat="true" applyFont="true" applyFill="true" applyBorder="true"/>
    <xf numFmtId="0" fontId="3" fillId="4" borderId="0" xfId="0" applyNumberFormat="true" applyFont="true" applyFill="true" applyBorder="true" applyAlignment="true">
      <alignment wrapText="true"/>
    </xf>
    <xf numFmtId="0" fontId="3" fillId="4" borderId="0" xfId="0" applyNumberFormat="true" applyFont="true" applyFill="true" applyBorder="true" applyAlignment="true">
      <alignment horizontal="center" wrapText="true"/>
    </xf>
    <xf numFmtId="0" fontId="3" fillId="4" borderId="0" xfId="0" applyNumberFormat="true" applyFont="true" applyFill="true" applyBorder="true" applyAlignment="true">
      <alignment horizontal="center" vertical="center" wrapText="true"/>
    </xf>
    <xf numFmtId="0" fontId="0" fillId="4" borderId="1" xfId="0" applyNumberFormat="true" applyFont="true" applyFill="true" applyBorder="true"/>
    <xf numFmtId="0" fontId="3" fillId="4" borderId="1" xfId="0" applyNumberFormat="true" applyFont="true" applyFill="true" applyBorder="true"/>
    <xf numFmtId="0" fontId="3" fillId="4" borderId="1" xfId="0" applyNumberFormat="true" applyFont="true" applyFill="true" applyBorder="true" applyAlignment="true">
      <alignment wrapText="true"/>
    </xf>
    <xf numFmtId="0" fontId="3" fillId="4" borderId="1" xfId="0" applyNumberFormat="true" applyFont="true" applyFill="true" applyBorder="true" applyAlignment="true">
      <alignment horizontal="center" wrapText="true"/>
    </xf>
    <xf numFmtId="0" fontId="3" fillId="4" borderId="1" xfId="0" applyNumberFormat="true" applyFont="true" applyFill="true" applyBorder="true" applyAlignment="true">
      <alignment horizontal="center" vertical="center" wrapText="true"/>
    </xf>
    <xf numFmtId="0" fontId="4" fillId="0" borderId="0" xfId="0" applyNumberFormat="true" applyFont="true" applyFill="true" applyBorder="true"/>
    <xf numFmtId="0" fontId="4" fillId="0" borderId="0" xfId="0" applyNumberFormat="true" applyFont="true" applyFill="true" applyBorder="true" applyAlignment="true">
      <alignment wrapText="true"/>
    </xf>
    <xf numFmtId="0" fontId="4" fillId="0" borderId="0" xfId="0" applyNumberFormat="true" applyFont="true" applyFill="true" applyBorder="true" applyAlignment="true">
      <alignment vertical="top" wrapText="true"/>
    </xf>
    <xf numFmtId="0" fontId="4" fillId="0" borderId="1" xfId="0" applyNumberFormat="true" applyFont="true" applyFill="true" applyBorder="true"/>
    <xf numFmtId="0" fontId="4" fillId="0" borderId="1" xfId="0" applyNumberFormat="true" applyFont="true" applyFill="true" applyBorder="true" applyAlignment="true">
      <alignment wrapText="true"/>
    </xf>
    <xf numFmtId="0" fontId="4" fillId="0" borderId="1" xfId="0" applyNumberFormat="true" applyFont="true" applyFill="true" applyBorder="true" applyAlignment="true">
      <alignment vertical="top" wrapText="true"/>
    </xf>
    <xf numFmtId="200" fontId="4" fillId="0" borderId="0" xfId="0" applyNumberFormat="true" applyFont="true" applyFill="true" applyBorder="true" applyAlignment="true">
      <alignment vertical="top" wrapText="true"/>
    </xf>
    <xf numFmtId="200" fontId="4" fillId="0" borderId="1" xfId="0" applyNumberFormat="true" applyFont="true" applyFill="true" applyBorder="true" applyAlignment="true">
      <alignment vertical="top" wrapText="true"/>
    </xf>
    <xf numFmtId="201" fontId="4" fillId="0" borderId="0" xfId="0" applyNumberFormat="true" applyFont="true" applyFill="true" applyBorder="true" applyAlignment="true">
      <alignment vertical="top" wrapText="true"/>
    </xf>
    <xf numFmtId="201" fontId="4" fillId="0" borderId="1" xfId="0" applyNumberFormat="true" applyFont="true" applyFill="true" applyBorder="true" applyAlignment="true">
      <alignment vertical="top" wrapText="true"/>
    </xf>
    <xf numFmtId="0" fontId="0" fillId="5" borderId="0" xfId="0" applyNumberFormat="true" applyFont="true" applyFill="true" applyBorder="true"/>
    <xf numFmtId="0" fontId="5" fillId="5" borderId="0" xfId="0" applyNumberFormat="true" applyFont="true" applyFill="true" applyBorder="true"/>
    <xf numFmtId="0" fontId="5" fillId="5" borderId="0" xfId="0" applyNumberFormat="true" applyFont="true" applyFill="true" applyBorder="true" applyAlignment="true">
      <alignment horizontal="left"/>
    </xf>
    <xf numFmtId="0" fontId="0" fillId="5" borderId="1" xfId="0" applyNumberFormat="true" applyFont="true" applyFill="true" applyBorder="true"/>
    <xf numFmtId="0" fontId="5" fillId="5" borderId="1" xfId="0" applyNumberFormat="true" applyFont="true" applyFill="true" applyBorder="true"/>
    <xf numFmtId="0" fontId="5" fillId="5" borderId="1" xfId="0" applyNumberFormat="true" applyFont="true" applyFill="true" applyBorder="true" applyAlignment="true">
      <alignment horizontal="left"/>
    </xf>
    <xf numFmtId="202" fontId="4" fillId="0" borderId="0" xfId="0" applyNumberFormat="true" applyFont="true" applyFill="true" applyBorder="true" applyAlignment="true">
      <alignment vertical="top" wrapText="true"/>
    </xf>
    <xf numFmtId="202" fontId="4" fillId="0" borderId="1" xfId="0" applyNumberFormat="true" applyFont="true" applyFill="true" applyBorder="true" applyAlignment="true">
      <alignment vertical="top" wrapText="true"/>
    </xf>
    <xf numFmtId="0" fontId="0" fillId="6" borderId="0" xfId="0" applyNumberFormat="true" applyFont="true" applyFill="true" applyBorder="true"/>
    <xf numFmtId="0" fontId="6" fillId="6" borderId="0" xfId="0" applyNumberFormat="true" applyFont="true" applyFill="true" applyBorder="true"/>
    <xf numFmtId="0" fontId="6" fillId="6" borderId="0" xfId="0" applyNumberFormat="true" applyFont="true" applyFill="true" applyBorder="true" applyAlignment="true">
      <alignment horizontal="center"/>
    </xf>
    <xf numFmtId="0" fontId="0" fillId="6" borderId="1" xfId="0" applyNumberFormat="true" applyFont="true" applyFill="true" applyBorder="true"/>
    <xf numFmtId="0" fontId="6" fillId="6" borderId="1" xfId="0" applyNumberFormat="true" applyFont="true" applyFill="true" applyBorder="true"/>
    <xf numFmtId="0" fontId="6" fillId="6" borderId="1" xfId="0" applyNumberFormat="true" applyFont="true" applyFill="true" applyBorder="true" applyAlignment="true">
      <alignment horizontal="center"/>
    </xf>
    <xf numFmtId="203" fontId="4" fillId="0" borderId="0" xfId="0" applyNumberFormat="true" applyFont="true" applyFill="true" applyBorder="true" applyAlignment="true">
      <alignment vertical="top" wrapText="true"/>
    </xf>
    <xf numFmtId="203" fontId="4" fillId="0" borderId="1" xfId="0" applyNumberFormat="true" applyFont="true" applyFill="true" applyBorder="true" applyAlignment="true">
      <alignment vertical="top" wrapText="true"/>
    </xf>
    <xf numFmtId="200" fontId="0" fillId="0" borderId="0" xfId="0" applyNumberFormat="true" applyFont="true" applyFill="true" applyBorder="true"/>
    <xf numFmtId="200" fontId="0" fillId="0" borderId="1" xfId="0" applyNumberFormat="true" applyFont="true" applyFill="true" applyBorder="true"/>
    <xf numFmtId="200" fontId="0" fillId="3" borderId="0" xfId="0" applyNumberFormat="true" applyFont="true" applyFill="true" applyBorder="true"/>
    <xf numFmtId="0" fontId="4" fillId="3" borderId="0" xfId="0" applyNumberFormat="true" applyFont="true" applyFill="true" applyBorder="true"/>
    <xf numFmtId="200" fontId="4" fillId="3" borderId="0" xfId="0" applyNumberFormat="true" applyFont="true" applyFill="true" applyBorder="true"/>
    <xf numFmtId="0" fontId="4" fillId="3" borderId="0" xfId="0" applyNumberFormat="true" applyFont="true" applyFill="true" applyBorder="true" applyAlignment="true">
      <alignment wrapText="true"/>
    </xf>
    <xf numFmtId="200" fontId="4" fillId="3" borderId="0" xfId="0" applyNumberFormat="true" applyFont="true" applyFill="true" applyBorder="true" applyAlignment="true">
      <alignment wrapText="true"/>
    </xf>
    <xf numFmtId="200" fontId="0" fillId="3" borderId="1" xfId="0" applyNumberFormat="true" applyFont="true" applyFill="true" applyBorder="true"/>
    <xf numFmtId="0" fontId="4" fillId="3" borderId="1" xfId="0" applyNumberFormat="true" applyFont="true" applyFill="true" applyBorder="true"/>
    <xf numFmtId="200" fontId="4" fillId="3" borderId="1" xfId="0" applyNumberFormat="true" applyFont="true" applyFill="true" applyBorder="true"/>
    <xf numFmtId="0" fontId="4" fillId="3" borderId="1" xfId="0" applyNumberFormat="true" applyFont="true" applyFill="true" applyBorder="true" applyAlignment="true">
      <alignment wrapText="true"/>
    </xf>
    <xf numFmtId="200" fontId="4" fillId="3" borderId="1" xfId="0" applyNumberFormat="true" applyFont="true" applyFill="true" applyBorder="true" applyAlignment="true">
      <alignment wrapText="true"/>
    </xf>
    <xf numFmtId="0" fontId="7" fillId="3" borderId="0" xfId="0" applyNumberFormat="true" applyFont="true" applyFill="true" applyBorder="true" applyAlignment="true">
      <alignment wrapText="true"/>
    </xf>
    <xf numFmtId="0" fontId="7" fillId="3" borderId="1" xfId="0" applyNumberFormat="true" applyFont="true" applyFill="true" applyBorder="true" applyAlignment="true">
      <alignment wrapText="true"/>
    </xf>
    <xf numFmtId="0" fontId="3" fillId="4" borderId="0" xfId="0" applyNumberFormat="true" applyFont="true" applyFill="true" applyBorder="true" applyAlignment="true">
      <alignment horizontal="center"/>
    </xf>
    <xf numFmtId="0" fontId="3" fillId="4" borderId="0" xfId="0" applyNumberFormat="true" applyFont="true" applyFill="true" applyBorder="true" applyAlignment="true">
      <alignment horizontal="center" vertical="center"/>
    </xf>
    <xf numFmtId="0" fontId="3" fillId="4" borderId="1" xfId="0" applyNumberFormat="true" applyFont="true" applyFill="true" applyBorder="true" applyAlignment="true">
      <alignment horizontal="center"/>
    </xf>
    <xf numFmtId="0" fontId="3" fillId="4" borderId="1" xfId="0" applyNumberFormat="true" applyFont="true" applyFill="true" applyBorder="true" applyAlignment="true">
      <alignment horizontal="center" vertical="center"/>
    </xf>
    <xf numFmtId="0" fontId="8" fillId="6" borderId="0" xfId="0" applyNumberFormat="true" applyFont="true" applyFill="true" applyBorder="true"/>
    <xf numFmtId="0" fontId="8" fillId="6" borderId="0" xfId="0" applyNumberFormat="true" applyFont="true" applyFill="true" applyBorder="true" applyAlignment="true">
      <alignment horizontal="center"/>
    </xf>
    <xf numFmtId="0" fontId="8" fillId="6" borderId="0" xfId="0" applyNumberFormat="true" applyFont="true" applyFill="true" applyBorder="true" applyAlignment="true">
      <alignment horizontal="center" vertical="center"/>
    </xf>
    <xf numFmtId="0" fontId="8" fillId="6" borderId="1" xfId="0" applyNumberFormat="true" applyFont="true" applyFill="true" applyBorder="true"/>
    <xf numFmtId="0" fontId="8" fillId="6" borderId="1" xfId="0" applyNumberFormat="true" applyFont="true" applyFill="true" applyBorder="true" applyAlignment="true">
      <alignment horizontal="center"/>
    </xf>
    <xf numFmtId="0" fontId="8" fillId="6" borderId="1" xfId="0" applyNumberFormat="true" applyFont="true" applyFill="true" applyBorder="true" applyAlignment="true">
      <alignment horizontal="center" vertical="center"/>
    </xf>
    <xf numFmtId="203" fontId="8" fillId="6" borderId="0" xfId="0" applyNumberFormat="true" applyFont="true" applyFill="true" applyBorder="true" applyAlignment="true">
      <alignment horizontal="center" vertical="center"/>
    </xf>
    <xf numFmtId="203" fontId="8" fillId="6" borderId="1" xfId="0" applyNumberFormat="true" applyFont="true" applyFill="true" applyBorder="true" applyAlignment="true">
      <alignment horizontal="center" vertical="center"/>
    </xf>
    <xf numFmtId="202" fontId="8" fillId="6" borderId="0" xfId="0" applyNumberFormat="true" applyFont="true" applyFill="true" applyBorder="true" applyAlignment="true">
      <alignment horizontal="center" vertical="center"/>
    </xf>
    <xf numFmtId="202" fontId="8" fillId="6" borderId="1" xfId="0" applyNumberFormat="true" applyFont="true" applyFill="true" applyBorder="true" applyAlignment="true">
      <alignment horizontal="center" vertical="center"/>
    </xf>
    <xf numFmtId="200" fontId="4" fillId="0" borderId="0" xfId="0" applyNumberFormat="true" applyFont="true" applyFill="true" applyBorder="true"/>
    <xf numFmtId="200" fontId="4" fillId="0" borderId="0" xfId="0" applyNumberFormat="true" applyFont="true" applyFill="true" applyBorder="true" applyAlignment="true">
      <alignment wrapText="true"/>
    </xf>
    <xf numFmtId="200" fontId="4" fillId="0" borderId="1" xfId="0" applyNumberFormat="true" applyFont="true" applyFill="true" applyBorder="true"/>
    <xf numFmtId="200" fontId="4" fillId="0" borderId="1" xfId="0" applyNumberFormat="true" applyFont="true" applyFill="true" applyBorder="true" applyAlignment="true">
      <alignment wrapText="true"/>
    </xf>
    <xf numFmtId="0" fontId="9" fillId="5" borderId="0" xfId="0" applyNumberFormat="true" applyFont="true" applyFill="true" applyBorder="true"/>
    <xf numFmtId="0" fontId="9" fillId="5" borderId="0" xfId="0" applyNumberFormat="true" applyFont="true" applyFill="true" applyBorder="true" applyAlignment="true">
      <alignment horizontal="left"/>
    </xf>
    <xf numFmtId="0" fontId="9" fillId="5" borderId="1" xfId="0" applyNumberFormat="true" applyFont="true" applyFill="true" applyBorder="true"/>
    <xf numFmtId="0" fontId="9" fillId="5" borderId="1" xfId="0" applyNumberFormat="true" applyFont="true" applyFill="true" applyBorder="true" applyAlignment="true">
      <alignment horizontal="left"/>
    </xf>
    <xf numFmtId="0" fontId="6" fillId="6" borderId="0" xfId="0" applyNumberFormat="true" applyFont="true" applyFill="true" applyBorder="true" applyAlignment="true">
      <alignment wrapText="true"/>
    </xf>
    <xf numFmtId="0" fontId="6" fillId="6" borderId="1" xfId="0" applyNumberFormat="true" applyFont="true" applyFill="true" applyBorder="true" applyAlignment="true">
      <alignment wrapText="true"/>
    </xf>
    <xf numFmtId="0" fontId="1" fillId="2" borderId="0" xfId="0" applyNumberFormat="true" applyFont="true" applyFill="true" applyBorder="true" applyAlignment="true">
      <alignment horizontal="left" vertical="center" wrapText="true"/>
    </xf>
    <xf numFmtId="0" fontId="0" fillId="0" borderId="0" xfId="0" applyNumberFormat="true" applyFont="true" applyFill="true" applyBorder="true" applyAlignment="true">
      <alignment wrapText="true"/>
    </xf>
    <xf numFmtId="0" fontId="1" fillId="2" borderId="1" xfId="0" applyNumberFormat="true" applyFont="true" applyFill="true" applyBorder="true" applyAlignment="true">
      <alignment horizontal="left" vertical="center" wrapText="true"/>
    </xf>
    <xf numFmtId="0" fontId="0" fillId="0" borderId="1" xfId="0" applyNumberFormat="true" applyFont="true" applyFill="true" applyBorder="true" applyAlignment="true">
      <alignment wrapText="true"/>
    </xf>
    <xf numFmtId="0" fontId="0" fillId="0" borderId="0" xfId="0" applyNumberFormat="true" applyFont="true" applyFill="true" applyBorder="true"/>
    <xf numFmtId="0" fontId="1" fillId="2" borderId="0" xfId="0" applyNumberFormat="true" applyFont="true" applyFill="true" applyBorder="true" applyAlignment="true">
      <alignment horizontal="left" vertical="top"/>
    </xf>
    <xf numFmtId="0" fontId="0" fillId="0" borderId="0" xfId="0" applyNumberFormat="true" applyFont="true" applyFill="true" applyBorder="true" applyAlignment="true">
      <alignment vertical="top"/>
    </xf>
    <xf numFmtId="0" fontId="2" fillId="3" borderId="0" xfId="0" applyNumberFormat="true" applyFont="true" applyFill="true" applyBorder="true" applyAlignment="true">
      <alignment horizontal="left" vertical="top" wrapText="true"/>
    </xf>
    <xf numFmtId="0" fontId="3" fillId="4" borderId="0" xfId="0" applyNumberFormat="true" applyFont="true" applyFill="true" applyBorder="true" applyAlignment="true">
      <alignment horizontal="center" vertical="top" wrapText="true"/>
    </xf>
    <xf numFmtId="0" fontId="5" fillId="5" borderId="0" xfId="0" applyNumberFormat="true" applyFont="true" applyFill="true" applyBorder="true" applyAlignment="true">
      <alignment horizontal="left" vertical="top"/>
    </xf>
    <xf numFmtId="0" fontId="5" fillId="5" borderId="0" xfId="0" applyNumberFormat="true" applyFont="true" applyFill="true" applyBorder="true" applyAlignment="true">
      <alignment vertical="top"/>
    </xf>
    <xf numFmtId="0" fontId="1" fillId="2" borderId="1" xfId="0" applyNumberFormat="true" applyFont="true" applyFill="true" applyBorder="true" applyAlignment="true">
      <alignment horizontal="left" vertical="top"/>
    </xf>
    <xf numFmtId="0" fontId="0" fillId="0" borderId="1" xfId="0" applyNumberFormat="true" applyFont="true" applyFill="true" applyBorder="true" applyAlignment="true">
      <alignment vertical="top"/>
    </xf>
    <xf numFmtId="0" fontId="2" fillId="3" borderId="1" xfId="0" applyNumberFormat="true" applyFont="true" applyFill="true" applyBorder="true" applyAlignment="true">
      <alignment horizontal="left" vertical="top" wrapText="true"/>
    </xf>
    <xf numFmtId="0" fontId="3" fillId="4" borderId="1" xfId="0" applyNumberFormat="true" applyFont="true" applyFill="true" applyBorder="true" applyAlignment="true">
      <alignment horizontal="center" vertical="top" wrapText="true"/>
    </xf>
    <xf numFmtId="0" fontId="5" fillId="5" borderId="1" xfId="0" applyNumberFormat="true" applyFont="true" applyFill="true" applyBorder="true" applyAlignment="true">
      <alignment horizontal="left" vertical="top"/>
    </xf>
    <xf numFmtId="0" fontId="5" fillId="5" borderId="1" xfId="0" applyNumberFormat="true" applyFont="true" applyFill="true" applyBorder="true" applyAlignment="true">
      <alignment vertical="top"/>
    </xf>
    <xf numFmtId="0" fontId="1" fillId="2" borderId="0" xfId="0" applyNumberFormat="true" applyFont="true" applyFill="true" applyBorder="true" applyAlignment="true">
      <alignment horizontal="left" vertical="top" wrapText="true"/>
    </xf>
    <xf numFmtId="0" fontId="0" fillId="0" borderId="0" xfId="0" applyNumberFormat="true" applyFont="true" applyFill="true" applyBorder="true" applyAlignment="true">
      <alignment vertical="top" wrapText="true"/>
    </xf>
    <xf numFmtId="0" fontId="7" fillId="3" borderId="0" xfId="0" applyNumberFormat="true" applyFont="true" applyFill="true" applyBorder="true" applyAlignment="true">
      <alignment vertical="top" wrapText="true"/>
    </xf>
    <xf numFmtId="0" fontId="4" fillId="3" borderId="0" xfId="0" applyNumberFormat="true" applyFont="true" applyFill="true" applyBorder="true" applyAlignment="true">
      <alignment vertical="top" wrapText="true"/>
    </xf>
    <xf numFmtId="200" fontId="4" fillId="3" borderId="0" xfId="0" applyNumberFormat="true" applyFont="true" applyFill="true" applyBorder="true" applyAlignment="true">
      <alignment vertical="top" wrapText="true"/>
    </xf>
    <xf numFmtId="0" fontId="3" fillId="4" borderId="0" xfId="0" applyNumberFormat="true" applyFont="true" applyFill="true" applyBorder="true" applyAlignment="true">
      <alignment horizontal="center" vertical="top"/>
    </xf>
    <xf numFmtId="0" fontId="8" fillId="6" borderId="0" xfId="0" applyNumberFormat="true" applyFont="true" applyFill="true" applyBorder="true" applyAlignment="true">
      <alignment horizontal="center" vertical="top"/>
    </xf>
    <xf numFmtId="203" fontId="8" fillId="6" borderId="0" xfId="0" applyNumberFormat="true" applyFont="true" applyFill="true" applyBorder="true" applyAlignment="true">
      <alignment horizontal="center" vertical="top"/>
    </xf>
    <xf numFmtId="202" fontId="8" fillId="6" borderId="0" xfId="0" applyNumberFormat="true" applyFont="true" applyFill="true" applyBorder="true" applyAlignment="true">
      <alignment horizontal="center" vertical="top"/>
    </xf>
    <xf numFmtId="0" fontId="9" fillId="5" borderId="0" xfId="0" applyNumberFormat="true" applyFont="true" applyFill="true" applyBorder="true" applyAlignment="true">
      <alignment horizontal="left" vertical="top"/>
    </xf>
    <xf numFmtId="0" fontId="6" fillId="6" borderId="0" xfId="0" applyNumberFormat="true" applyFont="true" applyFill="true" applyBorder="true" applyAlignment="true">
      <alignment vertical="top" wrapText="true"/>
    </xf>
    <xf numFmtId="0" fontId="1" fillId="2" borderId="1" xfId="0" applyNumberFormat="true" applyFont="true" applyFill="true" applyBorder="true" applyAlignment="true">
      <alignment horizontal="left" vertical="top" wrapText="true"/>
    </xf>
    <xf numFmtId="0" fontId="0" fillId="0" borderId="1" xfId="0" applyNumberFormat="true" applyFont="true" applyFill="true" applyBorder="true" applyAlignment="true">
      <alignment vertical="top" wrapText="true"/>
    </xf>
    <xf numFmtId="0" fontId="7" fillId="3" borderId="1" xfId="0" applyNumberFormat="true" applyFont="true" applyFill="true" applyBorder="true" applyAlignment="true">
      <alignment vertical="top" wrapText="true"/>
    </xf>
    <xf numFmtId="0" fontId="4" fillId="3" borderId="1" xfId="0" applyNumberFormat="true" applyFont="true" applyFill="true" applyBorder="true" applyAlignment="true">
      <alignment vertical="top" wrapText="true"/>
    </xf>
    <xf numFmtId="200" fontId="4" fillId="3" borderId="1" xfId="0" applyNumberFormat="true" applyFont="true" applyFill="true" applyBorder="true" applyAlignment="true">
      <alignment vertical="top" wrapText="true"/>
    </xf>
    <xf numFmtId="0" fontId="3" fillId="4" borderId="1" xfId="0" applyNumberFormat="true" applyFont="true" applyFill="true" applyBorder="true" applyAlignment="true">
      <alignment horizontal="center" vertical="top"/>
    </xf>
    <xf numFmtId="0" fontId="8" fillId="6" borderId="1" xfId="0" applyNumberFormat="true" applyFont="true" applyFill="true" applyBorder="true" applyAlignment="true">
      <alignment horizontal="center" vertical="top"/>
    </xf>
    <xf numFmtId="203" fontId="8" fillId="6" borderId="1" xfId="0" applyNumberFormat="true" applyFont="true" applyFill="true" applyBorder="true" applyAlignment="true">
      <alignment horizontal="center" vertical="top"/>
    </xf>
    <xf numFmtId="202" fontId="8" fillId="6" borderId="1" xfId="0" applyNumberFormat="true" applyFont="true" applyFill="true" applyBorder="true" applyAlignment="true">
      <alignment horizontal="center" vertical="top"/>
    </xf>
    <xf numFmtId="0" fontId="9" fillId="5" borderId="1" xfId="0" applyNumberFormat="true" applyFont="true" applyFill="true" applyBorder="true" applyAlignment="true">
      <alignment horizontal="left" vertical="top"/>
    </xf>
    <xf numFmtId="0" fontId="6" fillId="6" borderId="1" xfId="0" applyNumberFormat="true" applyFont="true" applyFill="true" applyBorder="true" applyAlignment="true">
      <alignment vertical="top" wrapText="true"/>
    </xf>
    <xf numFmtId="0" fontId="6" fillId="6" borderId="0" xfId="0" applyNumberFormat="true" applyFont="true" applyFill="true" applyBorder="true" applyAlignment="true">
      <alignment horizontal="center" vertical="top"/>
    </xf>
    <xf numFmtId="0" fontId="6" fillId="6" borderId="1" xfId="0" applyNumberFormat="true" applyFont="true" applyFill="true" applyBorder="true" applyAlignment="true">
      <alignment horizontal="center" vertical="top"/>
    </xf>
    <xf numFmtId="0" fontId="4" fillId="0" borderId="0" xfId="0" applyNumberFormat="true" applyFont="true" applyFill="true" applyBorder="true" applyAlignment="true">
      <alignment horizontal="center" vertical="top" wrapText="true"/>
    </xf>
    <xf numFmtId="0" fontId="4" fillId="0" borderId="1" xfId="0" applyNumberFormat="true" applyFont="true" applyFill="true" applyBorder="true" applyAlignment="true">
      <alignment horizontal="center" vertical="top" wrapText="true"/>
    </xf>
  </cellXfs>
  <cellStyles count="1">
    <cellStyle name="Normal" xfId="0"/>
  </cellStyles>
  <dxfs count="15">
    <dxf>
      <font>
        <b val="1"/>
        <color rgb="FF991B1B"/>
      </font>
      <fill>
        <patternFill patternType="solid">
          <bgColor rgb="FFFEE2E2"/>
        </patternFill>
      </fill>
    </dxf>
    <dxf>
      <font>
        <color rgb="FF166534"/>
      </font>
      <fill>
        <patternFill patternType="solid">
          <bgColor rgb="FFDCFCE7"/>
        </patternFill>
      </fill>
    </dxf>
    <dxf>
      <font>
        <b val="1"/>
        <color rgb="FF991B1B"/>
      </font>
      <fill>
        <patternFill patternType="solid">
          <bgColor rgb="FFFEE2E2"/>
        </patternFill>
      </fill>
    </dxf>
    <dxf>
      <font>
        <b val="1"/>
        <color rgb="FF991B1B"/>
      </font>
      <fill>
        <patternFill patternType="solid">
          <bgColor rgb="FFFEE2E2"/>
        </patternFill>
      </fill>
    </dxf>
    <dxf>
      <font>
        <color rgb="FF92400E"/>
      </font>
      <fill>
        <patternFill patternType="solid">
          <bgColor rgb="FFFEF3C7"/>
        </patternFill>
      </fill>
    </dxf>
    <dxf>
      <font>
        <b val="1"/>
        <color rgb="FF991B1B"/>
      </font>
      <fill>
        <patternFill patternType="solid">
          <bgColor rgb="FFFEE2E2"/>
        </patternFill>
      </fill>
    </dxf>
    <dxf>
      <font>
        <color rgb="FF92400E"/>
      </font>
      <fill>
        <patternFill patternType="solid">
          <bgColor rgb="FFFEF3C7"/>
        </patternFill>
      </fill>
    </dxf>
    <dxf>
      <font>
        <color rgb="FF166534"/>
      </font>
      <fill>
        <patternFill patternType="solid">
          <bgColor rgb="FFDCFCE7"/>
        </patternFill>
      </fill>
    </dxf>
    <dxf>
      <font>
        <b val="1"/>
        <color rgb="FF991B1B"/>
      </font>
      <fill>
        <patternFill patternType="solid">
          <bgColor rgb="FFFEE2E2"/>
        </patternFill>
      </fill>
    </dxf>
    <dxf>
      <font>
        <color rgb="FF92400E"/>
      </font>
      <fill>
        <patternFill patternType="solid">
          <bgColor rgb="FFFEF3C7"/>
        </patternFill>
      </fill>
    </dxf>
    <dxf>
      <font>
        <color rgb="FF166534"/>
      </font>
      <fill>
        <patternFill patternType="solid">
          <bgColor rgb="FFDCFCE7"/>
        </patternFill>
      </fill>
    </dxf>
    <dxf>
      <font>
        <b val="1"/>
        <color rgb="FF991B1B"/>
      </font>
      <fill>
        <patternFill patternType="solid">
          <bgColor rgb="FFFEE2E2"/>
        </patternFill>
      </fill>
    </dxf>
    <dxf>
      <font>
        <b val="1"/>
        <color rgb="FF991B1B"/>
      </font>
      <fill>
        <patternFill patternType="solid">
          <bgColor rgb="FFFEE2E2"/>
        </patternFill>
      </fill>
    </dxf>
    <dxf>
      <font>
        <b val="1"/>
        <color rgb="FF92400E"/>
      </font>
      <fill>
        <patternFill patternType="solid">
          <bgColor rgb="FFFEF3C7"/>
        </patternFill>
      </fill>
    </dxf>
    <dxf>
      <font>
        <b val="1"/>
        <color rgb="FF991B1B"/>
      </font>
      <fill>
        <patternFill patternType="solid">
          <bgColor rgb="FFFEE2E2"/>
        </patternFill>
      </fill>
    </dxf>
  </dxfs>
</styleSheet>
</file>

<file path=xl/_rels/workbook.xml.rels><?xml version="1.0" encoding="UTF-8"?>
<Relationships xmlns="http://schemas.openxmlformats.org/package/2006/relationships"><Relationship Id="R0edb3a8e167e4336" Target="styles.xml" Type="http://schemas.openxmlformats.org/officeDocument/2006/relationships/styles"></Relationship><Relationship Id="R088ec8025b7c4fd8" Target="theme/theme1.xml" Type="http://schemas.openxmlformats.org/officeDocument/2006/relationships/theme"></Relationship><Relationship Id="Rc517a7b30704441d" Target="sharedStrings.xml" Type="http://schemas.openxmlformats.org/officeDocument/2006/relationships/sharedStrings"></Relationship><Relationship Id="R35a652555b224f37" Target="worksheets/sheet1.xml" Type="http://schemas.openxmlformats.org/officeDocument/2006/relationships/worksheet"></Relationship><Relationship Id="R39b43e5cb620453e" Target="worksheets/sheet2.xml" Type="http://schemas.openxmlformats.org/officeDocument/2006/relationships/worksheet"></Relationship><Relationship Id="Reace4319ccd94f1a" Target="worksheets/sheet3.xml" Type="http://schemas.openxmlformats.org/officeDocument/2006/relationships/worksheet"></Relationship><Relationship Id="Rbe24ce7683d847b2" Target="worksheets/sheet4.xml" Type="http://schemas.openxmlformats.org/officeDocument/2006/relationships/worksheet"></Relationship><Relationship Id="R8e535505297142d6" Target="worksheets/sheet5.xml" Type="http://schemas.openxmlformats.org/officeDocument/2006/relationships/worksheet"></Relationship><Relationship Id="Ra3001d72327044ba" Target="worksheets/sheet6.xml" Type="http://schemas.openxmlformats.org/officeDocument/2006/relationships/worksheet"></Relationship><Relationship Id="R0863ac80e62647e5" Target="worksheets/sheet7.xml" Type="http://schemas.openxmlformats.org/officeDocument/2006/relationships/worksheet"></Relationship><Relationship Id="R5a8ee8a971cf448e" Target="worksheets/sheet8.xml" Type="http://schemas.openxmlformats.org/officeDocument/2006/relationships/worksheet"></Relationship><Relationship Id="R1784a60d398e4c3b" Target="worksheets/sheet9.xml" Type="http://schemas.openxmlformats.org/officeDocument/2006/relationships/worksheet"></Relationship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charts/chart1.xml" Id="Rcccc1e7bdc7341ff" /><Relationship Type="http://schemas.openxmlformats.org/officeDocument/2006/relationships/chart" Target="charts/chart2.xml" Id="R308fe23c5e2d42fd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点検結果分布</a:t>
            </a:r>
          </a:p>
        </c:rich>
      </c:tx>
      <c:overlay val="0"/>
    </c:title>
    <c:autoTitleDeleted val="0"/>
    <c:plotArea>
      <c:layout/>
      <c:barChart>
        <c:barDir val="col"/>
        <c:varyColors val="0"/>
        <c:ser>
          <c:idx val="0"/>
          <c:order val="0"/>
          <c:tx>
            <c:v>件数</c:v>
          </c:tx>
          <c:cat>
            <c:strRef>
              <c:f>'ダッシュボード'!$A$17:$A$20</c:f>
              <c:strCache>
                <c:ptCount val="0"/>
              </c:strCache>
            </c:strRef>
          </c:cat>
          <c:val>
            <c:numRef>
              <c:f>'ダッシュボード'!$B$17:$B$20</c:f>
              <c:numCache>
                <c:formatCode/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crossAx val="48650112"/>
        <c:crosses val="autoZero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charts/chart2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/>
              <a:t>今週計画点検量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計画点検量</c:v>
          </c:tx>
          <c:cat>
            <c:strRef>
              <c:f>'ダッシュボード'!$E$17:$E$23</c:f>
              <c:strCache>
                <c:ptCount val="0"/>
              </c:strCache>
            </c:strRef>
          </c:cat>
          <c:val>
            <c:numRef>
              <c:f>'ダッシュボード'!$F$17:$F$23</c:f>
              <c:numCache>
                <c:formatCode/>
                <c:ptCount val="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tickLblPos val="nextTo"/>
        <c:crossAx val="48672768"/>
        <c:crosses val="autoZero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"/>
        <c:majorTickMark val="none"/>
        <c:minorTickMark val="none"/>
        <c:crossAx val="48650112"/>
        <c:crosses val="autoZero"/>
        <c:crossBetween val="between"/>
      </c:valAx>
    </c:plotArea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7</xdr:col>
      <xdr:colOff>0</xdr:colOff>
      <xdr:row>15</xdr:row>
      <xdr:rowOff>0</xdr:rowOff>
    </xdr:from>
    <xdr:to>
      <xdr:col>11</xdr:col>
      <xdr:colOff>0</xdr:colOff>
      <xdr:row>24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cccc1e7bdc7341ff"/>
        </a:graphicData>
      </a:graphic>
    </xdr:graphicFrame>
    <xdr:clientData/>
  </xdr:twoCellAnchor>
  <xdr:twoCellAnchor>
    <xdr:from>
      <xdr:col>7</xdr:col>
      <xdr:colOff>0</xdr:colOff>
      <xdr:row>24</xdr:row>
      <xdr:rowOff>0</xdr:rowOff>
    </xdr:from>
    <xdr:to>
      <xdr:col>11</xdr:col>
      <xdr:colOff>0</xdr:colOff>
      <xdr:row>38</xdr:row>
      <xdr:rowOff>0</xdr:rowOff>
    </xdr:to>
    <xdr:graphicFrame macro="">
      <xdr:nvGraphicFramePr>
        <xdr:cNvPr id="2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308fe23c5e2d42fd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drawing" Target="../drawings/drawing1.xml" Id="R6e1103589e154a43" /></Relationships>
</file>

<file path=xl/worksheets/sheet1.xml><?xml version="1.0" encoding="utf-8"?>
<worksheet xmlns="http://schemas.openxmlformats.org/spreadsheetml/2006/main">
  <dimension ref="A1:U30"/>
  <sheetViews>
    <sheetView tabSelected="true" workbookViewId="0"/>
  </sheetViews>
  <sheetFormatPr defaultRowHeight="15"/>
  <cols>
    <col customWidth="true" max="1" min="1" width="18"/>
    <col customWidth="true" max="2" min="2" width="24"/>
    <col customWidth="true" max="3" min="3" width="44"/>
    <col customWidth="true" max="4" min="4" width="28"/>
  </cols>
  <sheetData>
    <row r="1" ht="24" customHeight="true">
      <c r="A1" s="99" t="s">
        <v>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</row>
    <row r="2" ht="24" customHeight="true">
      <c r="A2" s="101" t="s">
        <v>1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</row>
    <row r="3" ht="24" customHeight="true">
      <c r="A3" s="100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</row>
    <row r="4" ht="24" customHeight="true">
      <c r="A4" s="102" t="str">
        <v>参数</v>
      </c>
      <c r="B4" s="102" t="str">
        <v>填写/初期値</v>
      </c>
      <c r="C4" s="102" t="str">
        <v>说明</v>
      </c>
      <c r="D4" s="102" t="str">
        <v>示例/用途</v>
      </c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</row>
    <row r="5" ht="24" customHeight="true">
      <c r="A5" s="32" t="s">
        <v>2</v>
      </c>
      <c r="B5" s="32" t="s">
        <v>3</v>
      </c>
      <c r="C5" s="32" t="s">
        <v>4</v>
      </c>
      <c r="D5" s="32" t="s">
        <v>5</v>
      </c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</row>
    <row r="6" ht="24" customHeight="true">
      <c r="A6" s="32" t="s">
        <v>6</v>
      </c>
      <c r="B6" s="32" t="s">
        <v>7</v>
      </c>
      <c r="C6" s="32" t="s">
        <v>8</v>
      </c>
      <c r="D6" s="32" t="str">
        <v>用于筛选或月报</v>
      </c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</row>
    <row r="7" ht="24" customHeight="true">
      <c r="A7" s="32" t="s">
        <v>9</v>
      </c>
      <c r="B7" s="32" t="s">
        <v>10</v>
      </c>
      <c r="C7" s="32" t="s">
        <v>11</v>
      </c>
      <c r="D7" s="32" t="s">
        <v>12</v>
      </c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100"/>
      <c r="P7" s="100"/>
      <c r="Q7" s="100"/>
      <c r="R7" s="100"/>
      <c r="S7" s="100"/>
      <c r="T7" s="100"/>
      <c r="U7" s="100"/>
    </row>
    <row r="8" ht="24" customHeight="true">
      <c r="A8" s="32" t="s">
        <v>13</v>
      </c>
      <c r="B8" s="32" t="s">
        <v>14</v>
      </c>
      <c r="C8" s="32" t="s">
        <v>15</v>
      </c>
      <c r="D8" s="32" t="str">
        <v>用于统一责任归口</v>
      </c>
      <c r="E8" s="100"/>
      <c r="F8" s="100"/>
      <c r="G8" s="100"/>
      <c r="H8" s="100"/>
      <c r="I8" s="100"/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</row>
    <row r="9" ht="24" customHeight="true">
      <c r="A9" s="32" t="s">
        <v>16</v>
      </c>
      <c r="B9" s="32" t="s">
        <v>14</v>
      </c>
      <c r="C9" s="32" t="s">
        <v>17</v>
      </c>
      <c r="D9" s="32" t="s">
        <v>18</v>
      </c>
      <c r="E9" s="100"/>
      <c r="F9" s="100"/>
      <c r="G9" s="100"/>
      <c r="H9" s="100"/>
      <c r="I9" s="100"/>
      <c r="J9" s="100"/>
      <c r="K9" s="100"/>
      <c r="L9" s="100"/>
      <c r="M9" s="100"/>
      <c r="N9" s="100"/>
      <c r="O9" s="100"/>
      <c r="P9" s="100"/>
      <c r="Q9" s="100"/>
      <c r="R9" s="100"/>
      <c r="S9" s="100"/>
      <c r="T9" s="100"/>
      <c r="U9" s="100"/>
    </row>
    <row r="10" ht="24" customHeight="true">
      <c r="A10" s="32" t="s">
        <v>19</v>
      </c>
      <c r="B10" s="36" t="n">
        <v>46113</v>
      </c>
      <c r="C10" s="32" t="s">
        <v>20</v>
      </c>
      <c r="D10" s="32" t="str">
        <v>可調整</v>
      </c>
      <c r="E10" s="100"/>
      <c r="F10" s="100"/>
      <c r="G10" s="100"/>
      <c r="H10" s="100"/>
      <c r="I10" s="100"/>
      <c r="J10" s="100"/>
      <c r="K10" s="100"/>
      <c r="L10" s="100"/>
      <c r="M10" s="100"/>
      <c r="N10" s="100"/>
      <c r="O10" s="100"/>
      <c r="P10" s="100"/>
      <c r="Q10" s="100"/>
      <c r="R10" s="100"/>
      <c r="S10" s="100"/>
      <c r="T10" s="100"/>
      <c r="U10" s="100"/>
    </row>
    <row r="11" ht="24" customHeight="true">
      <c r="A11" s="32" t="s">
        <v>21</v>
      </c>
      <c r="B11" s="36" t="n">
        <v>46203</v>
      </c>
      <c r="C11" s="32" t="s">
        <v>20</v>
      </c>
      <c r="D11" s="32" t="str">
        <v>可調整</v>
      </c>
      <c r="E11" s="100"/>
      <c r="F11" s="100"/>
      <c r="G11" s="100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</row>
    <row r="12" ht="24" customHeight="true">
      <c r="A12" s="32" t="s">
        <v>22</v>
      </c>
      <c r="B12" s="36" t="n">
        <v>46125</v>
      </c>
      <c r="C12" s="32" t="s">
        <v>23</v>
      </c>
      <c r="D12" s="32" t="str">
        <v>推奨填月</v>
      </c>
      <c r="E12" s="100"/>
      <c r="F12" s="100"/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</row>
    <row r="13" ht="24" customHeight="true">
      <c r="A13" s="32" t="s">
        <v>24</v>
      </c>
      <c r="B13" s="36" t="n">
        <v>46130</v>
      </c>
      <c r="C13" s="32" t="s">
        <v>25</v>
      </c>
      <c r="D13" s="32" t="str">
        <v>用于提醒/会議</v>
      </c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</row>
    <row r="14" ht="24" customHeight="true">
      <c r="A14" s="32" t="s">
        <v>26</v>
      </c>
      <c r="B14" s="38" t="n">
        <v>7</v>
      </c>
      <c r="C14" s="32" t="s">
        <v>27</v>
      </c>
      <c r="D14" s="32" t="str">
        <v>可按制度改为 1/3/7 天</v>
      </c>
      <c r="E14" s="100"/>
      <c r="F14" s="100"/>
      <c r="G14" s="100"/>
      <c r="H14" s="100"/>
      <c r="I14" s="100"/>
      <c r="J14" s="100"/>
      <c r="K14" s="100"/>
      <c r="L14" s="100"/>
      <c r="M14" s="100"/>
      <c r="N14" s="100"/>
      <c r="O14" s="100"/>
      <c r="P14" s="100"/>
      <c r="Q14" s="100"/>
      <c r="R14" s="100"/>
      <c r="S14" s="100"/>
      <c r="T14" s="100"/>
      <c r="U14" s="100"/>
    </row>
    <row r="15" ht="24" customHeight="true">
      <c r="A15" s="32" t="s">
        <v>28</v>
      </c>
      <c r="B15" s="38" t="n">
        <v>1</v>
      </c>
      <c r="C15" s="32" t="s">
        <v>29</v>
      </c>
      <c r="D15" s="32" t="s">
        <v>30</v>
      </c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100"/>
      <c r="S15" s="100"/>
      <c r="T15" s="100"/>
      <c r="U15" s="100"/>
    </row>
    <row r="16" ht="24" customHeight="true">
      <c r="A16" s="32" t="str">
        <v>模板バージョン</v>
      </c>
      <c r="B16" s="32" t="str">
        <v>バージョン 1.0</v>
      </c>
      <c r="C16" s="32" t="str">
        <v>通用バージョン，可按企业流程继续扩展</v>
      </c>
      <c r="D16" s="32"/>
      <c r="E16" s="100"/>
      <c r="F16" s="100"/>
      <c r="G16" s="100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</row>
    <row r="17" ht="24" customHeight="true">
      <c r="A17" s="100"/>
      <c r="B17" s="100"/>
      <c r="C17" s="100"/>
      <c r="D17" s="100"/>
      <c r="E17" s="100"/>
      <c r="F17" s="100"/>
      <c r="G17" s="100"/>
      <c r="H17" s="100"/>
      <c r="I17" s="100"/>
      <c r="J17" s="100"/>
      <c r="K17" s="100"/>
      <c r="L17" s="100"/>
      <c r="M17" s="100"/>
      <c r="N17" s="100"/>
      <c r="O17" s="100"/>
      <c r="P17" s="100"/>
      <c r="Q17" s="100"/>
      <c r="R17" s="100"/>
      <c r="S17" s="100"/>
      <c r="T17" s="100"/>
      <c r="U17" s="100"/>
    </row>
    <row r="18" ht="24" customHeight="true">
      <c r="A18" s="103" t="str">
        <v>使用流程</v>
      </c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</row>
    <row r="19" ht="24" customHeight="true">
      <c r="A19" s="102" t="str">
        <v>1</v>
      </c>
      <c r="B19" s="102" t="s">
        <v>31</v>
      </c>
      <c r="C19" s="102" t="s">
        <v>32</v>
      </c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100"/>
      <c r="Q19" s="100"/>
      <c r="R19" s="100"/>
      <c r="S19" s="100"/>
      <c r="T19" s="100"/>
      <c r="U19" s="100"/>
    </row>
    <row r="20" ht="24" customHeight="true">
      <c r="A20" s="32" t="str">
        <v>2</v>
      </c>
      <c r="B20" s="32" t="s">
        <v>33</v>
      </c>
      <c r="C20" s="32" t="s">
        <v>34</v>
      </c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</row>
    <row r="21" ht="24" customHeight="true">
      <c r="A21" s="32" t="str">
        <v>3</v>
      </c>
      <c r="B21" s="32" t="s">
        <v>35</v>
      </c>
      <c r="C21" s="32" t="s">
        <v>36</v>
      </c>
      <c r="D21" s="100"/>
      <c r="E21" s="100"/>
      <c r="F21" s="100"/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</row>
    <row r="22" ht="24" customHeight="true">
      <c r="A22" s="32" t="str">
        <v>4</v>
      </c>
      <c r="B22" s="32" t="s">
        <v>37</v>
      </c>
      <c r="C22" s="32" t="s">
        <v>38</v>
      </c>
      <c r="D22" s="100"/>
      <c r="E22" s="100"/>
      <c r="F22" s="100"/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</row>
    <row r="23" ht="24" customHeight="true">
      <c r="A23" s="32" t="str">
        <v>5</v>
      </c>
      <c r="B23" s="32" t="s">
        <v>39</v>
      </c>
      <c r="C23" s="32" t="s">
        <v>40</v>
      </c>
      <c r="D23" s="100"/>
      <c r="E23" s="100"/>
      <c r="F23" s="100"/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100"/>
      <c r="U23" s="100"/>
    </row>
    <row r="24" ht="24" customHeight="true">
      <c r="A24" s="32" t="str">
        <v>6</v>
      </c>
      <c r="B24" s="32" t="s">
        <v>41</v>
      </c>
      <c r="C24" s="32" t="s">
        <v>42</v>
      </c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</row>
    <row r="25" ht="24" customHeight="true">
      <c r="A25" s="32" t="str">
        <v>7</v>
      </c>
      <c r="B25" s="32" t="s">
        <v>43</v>
      </c>
      <c r="C25" s="32" t="s">
        <v>44</v>
      </c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00"/>
    </row>
    <row r="26" ht="24" customHeight="true">
      <c r="A26" s="100"/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</row>
    <row r="27" ht="24" customHeight="true">
      <c r="A27" s="104" t="str">
        <v>来源与設計依据</v>
      </c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</row>
    <row r="28" ht="24" customHeight="true">
      <c r="A28" s="32" t="str">
        <v>网页有効内容</v>
      </c>
      <c r="B28" s="32" t="s">
        <v>45</v>
      </c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</row>
    <row r="29" ht="24" customHeight="true">
      <c r="A29" s="32" t="str">
        <v>公开页面</v>
      </c>
      <c r="B29" s="32" t="s">
        <v>46</v>
      </c>
      <c r="C29" s="100"/>
      <c r="D29" s="100"/>
      <c r="E29" s="100"/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</row>
    <row r="30" ht="24" customHeight="true">
      <c r="A30" s="32" t="str">
        <v>用户提供地址</v>
      </c>
      <c r="B30" s="32" t="s">
        <v>47</v>
      </c>
      <c r="C30" s="100"/>
      <c r="D30" s="100"/>
      <c r="E30" s="100"/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</row>
  </sheetData>
  <mergeCells count="4">
    <mergeCell ref="A1:H1"/>
    <mergeCell ref="A2:H2"/>
    <mergeCell ref="A18:H18"/>
    <mergeCell ref="A27:H27"/>
  </mergeCells>
  <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U30"/>
  <sheetViews>
    <sheetView workbookViewId="0"/>
  </sheetViews>
  <sheetFormatPr defaultRowHeight="15"/>
  <cols>
    <col customWidth="true" max="1" min="1" width="16"/>
    <col customWidth="true" max="2" min="2" width="15"/>
    <col customWidth="true" max="3" min="3" width="28"/>
    <col customWidth="true" max="4" min="4" width="16"/>
    <col customWidth="true" max="5" min="5" width="24"/>
    <col customWidth="true" max="6" min="6" width="14"/>
    <col customWidth="true" max="7" min="7" width="16"/>
    <col customWidth="true" max="8" min="8" width="12"/>
    <col customWidth="true" max="10" min="9" width="14"/>
    <col customWidth="true" max="11" min="11" width="16"/>
  </cols>
  <sheetData>
    <row r="1" ht="24" customHeight="true">
      <c r="A1" s="111" t="s">
        <v>48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00"/>
      <c r="M1" s="100"/>
      <c r="N1" s="100"/>
      <c r="O1" s="100"/>
      <c r="P1" s="100"/>
      <c r="Q1" s="100"/>
      <c r="R1" s="100"/>
      <c r="S1" s="100"/>
      <c r="T1" s="100"/>
      <c r="U1" s="100"/>
    </row>
    <row r="2" ht="24" customHeight="true">
      <c r="A2" s="101" t="s">
        <v>49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</row>
    <row r="3" ht="24" customHeight="true">
      <c r="A3" s="100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</row>
    <row r="4" ht="24" customHeight="true">
      <c r="A4" s="103" t="s">
        <v>50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</row>
    <row r="5" ht="24" customHeight="true">
      <c r="A5" s="113" t="s">
        <v>51</v>
      </c>
      <c r="B5" s="114" t="str">
        <f>'使い方と設定'!B5</f>
        <v>サンプル建設株式会社</v>
      </c>
      <c r="C5" s="113" t="s">
        <v>52</v>
      </c>
      <c r="D5" s="114" t="str">
        <f>'使い方と設定'!B6</f>
        <v>中野レジデンス新築工事</v>
      </c>
      <c r="E5" s="113" t="s">
        <v>53</v>
      </c>
      <c r="F5" s="114" t="str">
        <f>'使い方と設定'!B7</f>
        <v>東京第一現場</v>
      </c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</row>
    <row r="6" ht="24" customHeight="true">
      <c r="A6" s="113" t="s">
        <v>54</v>
      </c>
      <c r="B6" s="114" t="str">
        <f>'使い方と設定'!B8</f>
        <v>佐藤健一</v>
      </c>
      <c r="C6" s="113" t="s">
        <v>16</v>
      </c>
      <c r="D6" s="114" t="str">
        <f>'使い方と設定'!B9</f>
        <v>佐藤健一</v>
      </c>
      <c r="E6" s="113" t="str">
        <v>周起始</v>
      </c>
      <c r="F6" s="115" t="n">
        <f>'使い方と設定'!B12</f>
        <v>46125</v>
      </c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</row>
    <row r="7" ht="24" customHeight="true">
      <c r="A7" s="113" t="s">
        <v>55</v>
      </c>
      <c r="B7" s="114" t="str">
        <f>TEXT('使い方と設定'!B10,"yyyy-mm-dd")&amp;" 至 "&amp;TEXT('使い方と設定'!B11,"yyyy-mm-dd")</f>
        <v>2026年4月1日から2026年6月30日まで</v>
      </c>
      <c r="C7" s="113" t="s">
        <v>56</v>
      </c>
      <c r="D7" s="115" t="n">
        <f>'使い方と設定'!B13</f>
        <v>46130</v>
      </c>
      <c r="E7" s="113" t="str">
        <v>模板バージョン</v>
      </c>
      <c r="F7" s="114" t="str">
        <f>'使い方と設定'!B16</f>
        <v>バージョン 1.0</v>
      </c>
      <c r="G7" s="100"/>
      <c r="H7" s="100"/>
      <c r="I7" s="100"/>
      <c r="J7" s="100"/>
      <c r="K7" s="100"/>
      <c r="L7" s="100"/>
      <c r="M7" s="100"/>
      <c r="N7" s="100"/>
      <c r="O7" s="100"/>
      <c r="P7" s="100"/>
      <c r="Q7" s="100"/>
      <c r="R7" s="100"/>
      <c r="S7" s="100"/>
      <c r="T7" s="100"/>
      <c r="U7" s="100"/>
    </row>
    <row r="8" ht="24" customHeight="true">
      <c r="A8" s="100"/>
      <c r="B8" s="100"/>
      <c r="C8" s="100"/>
      <c r="D8" s="100"/>
      <c r="E8" s="100"/>
      <c r="F8" s="100"/>
      <c r="G8" s="100"/>
      <c r="H8" s="100"/>
      <c r="I8" s="100"/>
      <c r="J8" s="100"/>
      <c r="K8" s="100"/>
      <c r="L8" s="100"/>
      <c r="M8" s="100"/>
      <c r="N8" s="100"/>
      <c r="O8" s="100"/>
      <c r="P8" s="100"/>
      <c r="Q8" s="100"/>
      <c r="R8" s="100"/>
      <c r="S8" s="100"/>
      <c r="T8" s="100"/>
      <c r="U8" s="100"/>
    </row>
    <row r="9" ht="24" customHeight="true">
      <c r="A9" s="116" t="s">
        <v>57</v>
      </c>
      <c r="B9" s="117" t="n">
        <f>COUNTA('点検記録'!$A$6:$A$205)</f>
        <v>5</v>
      </c>
      <c r="C9" s="116" t="s">
        <v>58</v>
      </c>
      <c r="D9" s="118" t="n">
        <f>IFERROR(COUNTIF('点検記録'!$J$6:$J$205,"合格")/(COUNTIF('点検記録'!$J$6:$J$205,"合格")+COUNTIF('点検記録'!$J$6:$J$205,"不合格")+COUNTIF('点検記録'!$J$6:$J$205,"確認待ちちち")),0)</f>
        <v>0.4</v>
      </c>
      <c r="E9" s="116" t="s">
        <v>59</v>
      </c>
      <c r="F9" s="117" t="n">
        <f>COUNTIF('点検記録'!$N$6:$N$205,"はい")</f>
        <v>3</v>
      </c>
      <c r="G9" s="116" t="s">
        <v>60</v>
      </c>
      <c r="H9" s="117" t="n">
        <f>COUNTIF('改善・修理'!$Q$6:$Q$205,"期限超過")</f>
        <v>3</v>
      </c>
      <c r="I9" s="100"/>
      <c r="J9" s="100"/>
      <c r="K9" s="100"/>
      <c r="L9" s="100"/>
      <c r="M9" s="100"/>
      <c r="N9" s="100"/>
      <c r="O9" s="100"/>
      <c r="P9" s="100"/>
      <c r="Q9" s="100"/>
      <c r="R9" s="100"/>
      <c r="S9" s="100"/>
      <c r="T9" s="100"/>
      <c r="U9" s="100"/>
    </row>
    <row r="10" ht="24" customHeight="true">
      <c r="A10" s="100"/>
      <c r="B10" s="100"/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00"/>
      <c r="O10" s="100"/>
      <c r="P10" s="100"/>
      <c r="Q10" s="100"/>
      <c r="R10" s="100"/>
      <c r="S10" s="100"/>
      <c r="T10" s="100"/>
      <c r="U10" s="100"/>
    </row>
    <row r="11" ht="24" customHeight="true">
      <c r="A11" s="100"/>
      <c r="B11" s="100"/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0"/>
      <c r="N11" s="100"/>
      <c r="O11" s="100"/>
      <c r="P11" s="100"/>
      <c r="Q11" s="100"/>
      <c r="R11" s="100"/>
      <c r="S11" s="100"/>
      <c r="T11" s="100"/>
      <c r="U11" s="100"/>
    </row>
    <row r="12" ht="24" customHeight="true">
      <c r="A12" s="116" t="s">
        <v>61</v>
      </c>
      <c r="B12" s="117" t="n">
        <f>COUNTIF('機材台帳'!$R$6:$R$205,"稼働中")</f>
        <v>4</v>
      </c>
      <c r="C12" s="116" t="s">
        <v>62</v>
      </c>
      <c r="D12" s="117" t="n">
        <f>COUNTIFS('点検計画'!$G$6:$G$205,"&lt;="&amp;'使い方と設定'!$B$12+6,'点検計画'!$H$6:$H$205,"&gt;="&amp;'使い方と設定'!$B$12)</f>
        <v>2</v>
      </c>
      <c r="E12" s="116" t="s">
        <v>63</v>
      </c>
      <c r="F12" s="119" t="n">
        <f>SUM('改善・修理'!$P$6:$P$205)</f>
        <v>470</v>
      </c>
      <c r="G12" s="116" t="s">
        <v>64</v>
      </c>
      <c r="H12" s="117" t="n">
        <f>COUNTIF('写真台帳'!$I$6:$I$205,"確認待ちちち")+COUNTIF('写真台帳'!$I$6:$I$205,"需补充")</f>
        <v>2</v>
      </c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0"/>
      <c r="T12" s="100"/>
      <c r="U12" s="100"/>
    </row>
    <row r="13" ht="24" customHeight="true">
      <c r="A13" s="100"/>
      <c r="B13" s="100"/>
      <c r="C13" s="100"/>
      <c r="D13" s="100"/>
      <c r="E13" s="100"/>
      <c r="F13" s="100"/>
      <c r="G13" s="100"/>
      <c r="H13" s="100"/>
      <c r="I13" s="100"/>
      <c r="J13" s="100"/>
      <c r="K13" s="100"/>
      <c r="L13" s="100"/>
      <c r="M13" s="100"/>
      <c r="N13" s="100"/>
      <c r="O13" s="100"/>
      <c r="P13" s="100"/>
      <c r="Q13" s="100"/>
      <c r="R13" s="100"/>
      <c r="S13" s="100"/>
      <c r="T13" s="100"/>
      <c r="U13" s="100"/>
    </row>
    <row r="14" ht="24" customHeight="true">
      <c r="A14" s="100"/>
      <c r="B14" s="100"/>
      <c r="C14" s="100"/>
      <c r="D14" s="100"/>
      <c r="E14" s="100"/>
      <c r="F14" s="100"/>
      <c r="G14" s="100"/>
      <c r="H14" s="100"/>
      <c r="I14" s="100"/>
      <c r="J14" s="100"/>
      <c r="K14" s="100"/>
      <c r="L14" s="100"/>
      <c r="M14" s="100"/>
      <c r="N14" s="100"/>
      <c r="O14" s="100"/>
      <c r="P14" s="100"/>
      <c r="Q14" s="100"/>
      <c r="R14" s="100"/>
      <c r="S14" s="100"/>
      <c r="T14" s="100"/>
      <c r="U14" s="100"/>
    </row>
    <row r="15" ht="24" customHeight="true">
      <c r="A15" s="100"/>
      <c r="B15" s="100"/>
      <c r="C15" s="100"/>
      <c r="D15" s="100"/>
      <c r="E15" s="100"/>
      <c r="F15" s="100"/>
      <c r="G15" s="100"/>
      <c r="H15" s="100"/>
      <c r="I15" s="100"/>
      <c r="J15" s="100"/>
      <c r="K15" s="100"/>
      <c r="L15" s="100"/>
      <c r="M15" s="100"/>
      <c r="N15" s="100"/>
      <c r="O15" s="100"/>
      <c r="P15" s="100"/>
      <c r="Q15" s="100"/>
      <c r="R15" s="100"/>
      <c r="S15" s="100"/>
      <c r="T15" s="100"/>
      <c r="U15" s="100"/>
    </row>
    <row r="16" ht="24" customHeight="true">
      <c r="A16" s="102" t="s">
        <v>65</v>
      </c>
      <c r="B16" s="102" t="s">
        <v>66</v>
      </c>
      <c r="C16" s="100"/>
      <c r="D16" s="102" t="s">
        <v>67</v>
      </c>
      <c r="E16" s="102" t="str">
        <v>星期</v>
      </c>
      <c r="F16" s="102" t="s">
        <v>68</v>
      </c>
      <c r="G16" s="100"/>
      <c r="H16" s="100"/>
      <c r="I16" s="100"/>
      <c r="J16" s="100"/>
      <c r="K16" s="100"/>
      <c r="L16" s="100"/>
      <c r="M16" s="100"/>
      <c r="N16" s="100"/>
      <c r="O16" s="100"/>
      <c r="P16" s="100"/>
      <c r="Q16" s="100"/>
      <c r="R16" s="100"/>
      <c r="S16" s="100"/>
      <c r="T16" s="100"/>
      <c r="U16" s="100"/>
    </row>
    <row r="17" ht="24" customHeight="true">
      <c r="A17" s="32" t="str">
        <v>合格</v>
      </c>
      <c r="B17" s="32" t="n">
        <f>COUNTIF('点検記録'!$J$6:$J$205,A17)</f>
        <v>2</v>
      </c>
      <c r="C17" s="100"/>
      <c r="D17" s="36" t="n">
        <f>'使い方と設定'!$B$12+0</f>
        <v>46125</v>
      </c>
      <c r="E17" s="135" t="s">
        <v>69</v>
      </c>
      <c r="F17" s="135" t="n">
        <f>SUMPRODUCT(('点検計画'!$G$6:$G$205&lt;=D17)*('点検計画'!$H$6:$H$205&gt;=D17)*('点検計画'!$K$6:$K$205))</f>
        <v>23</v>
      </c>
      <c r="G17" s="100"/>
      <c r="H17" s="100"/>
      <c r="I17" s="100"/>
      <c r="J17" s="100"/>
      <c r="K17" s="100"/>
      <c r="L17" s="100"/>
      <c r="M17" s="100"/>
      <c r="N17" s="100"/>
      <c r="O17" s="100"/>
      <c r="P17" s="100"/>
      <c r="Q17" s="100"/>
      <c r="R17" s="100"/>
      <c r="S17" s="100"/>
      <c r="T17" s="100"/>
      <c r="U17" s="100"/>
    </row>
    <row r="18" ht="24" customHeight="true">
      <c r="A18" s="32" t="str">
        <v>不合格</v>
      </c>
      <c r="B18" s="32" t="n">
        <f>COUNTIF('点検記録'!$J$6:$J$205,A18)</f>
        <v>2</v>
      </c>
      <c r="C18" s="100"/>
      <c r="D18" s="36" t="n">
        <f>'使い方と設定'!$B$12+1</f>
        <v>46126</v>
      </c>
      <c r="E18" s="135" t="s">
        <v>70</v>
      </c>
      <c r="F18" s="135" t="n">
        <f>SUMPRODUCT(('点検計画'!$G$6:$G$205&lt;=D18)*('点検計画'!$H$6:$H$205&gt;=D18)*('点検計画'!$K$6:$K$205))</f>
        <v>23</v>
      </c>
      <c r="G18" s="100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100"/>
      <c r="T18" s="100"/>
      <c r="U18" s="100"/>
    </row>
    <row r="19" ht="24" customHeight="true">
      <c r="A19" s="32" t="s">
        <v>71</v>
      </c>
      <c r="B19" s="32" t="n">
        <f>COUNTIF('点検記録'!$J$6:$J$205,A19)</f>
        <v>1</v>
      </c>
      <c r="C19" s="100"/>
      <c r="D19" s="36" t="n">
        <f>'使い方と設定'!$B$12+2</f>
        <v>46127</v>
      </c>
      <c r="E19" s="135" t="s">
        <v>72</v>
      </c>
      <c r="F19" s="135" t="n">
        <f>SUMPRODUCT(('点検計画'!$G$6:$G$205&lt;=D19)*('点検計画'!$H$6:$H$205&gt;=D19)*('点検計画'!$K$6:$K$205))</f>
        <v>23</v>
      </c>
      <c r="G19" s="100"/>
      <c r="H19" s="100"/>
      <c r="I19" s="100"/>
      <c r="J19" s="100"/>
      <c r="K19" s="100"/>
      <c r="L19" s="100"/>
      <c r="M19" s="100"/>
      <c r="N19" s="100"/>
      <c r="O19" s="100"/>
      <c r="P19" s="100"/>
      <c r="Q19" s="100"/>
      <c r="R19" s="100"/>
      <c r="S19" s="100"/>
      <c r="T19" s="100"/>
      <c r="U19" s="100"/>
    </row>
    <row r="20" ht="24" customHeight="true">
      <c r="A20" s="32" t="s">
        <v>73</v>
      </c>
      <c r="B20" s="32" t="n">
        <f>COUNTIF('点検記録'!$J$6:$J$205,A20)</f>
        <v>0</v>
      </c>
      <c r="C20" s="100"/>
      <c r="D20" s="36" t="n">
        <f>'使い方と設定'!$B$12+3</f>
        <v>46128</v>
      </c>
      <c r="E20" s="135" t="s">
        <v>74</v>
      </c>
      <c r="F20" s="135" t="n">
        <f>SUMPRODUCT(('点検計画'!$G$6:$G$205&lt;=D20)*('点検計画'!$H$6:$H$205&gt;=D20)*('点検計画'!$K$6:$K$205))</f>
        <v>23</v>
      </c>
      <c r="G20" s="100"/>
      <c r="H20" s="100"/>
      <c r="I20" s="100"/>
      <c r="J20" s="100"/>
      <c r="K20" s="100"/>
      <c r="L20" s="100"/>
      <c r="M20" s="100"/>
      <c r="N20" s="100"/>
      <c r="O20" s="100"/>
      <c r="P20" s="100"/>
      <c r="Q20" s="100"/>
      <c r="R20" s="100"/>
      <c r="S20" s="100"/>
      <c r="T20" s="100"/>
      <c r="U20" s="100"/>
    </row>
    <row r="21" ht="24" customHeight="true">
      <c r="A21" s="100"/>
      <c r="B21" s="100"/>
      <c r="C21" s="100"/>
      <c r="D21" s="36" t="n">
        <f>'使い方と設定'!$B$12+4</f>
        <v>46129</v>
      </c>
      <c r="E21" s="135" t="s">
        <v>75</v>
      </c>
      <c r="F21" s="135" t="n">
        <f>SUMPRODUCT(('点検計画'!$G$6:$G$205&lt;=D21)*('点検計画'!$H$6:$H$205&gt;=D21)*('点検計画'!$K$6:$K$205))</f>
        <v>23</v>
      </c>
      <c r="G21" s="100"/>
      <c r="H21" s="100"/>
      <c r="I21" s="100"/>
      <c r="J21" s="100"/>
      <c r="K21" s="100"/>
      <c r="L21" s="100"/>
      <c r="M21" s="100"/>
      <c r="N21" s="100"/>
      <c r="O21" s="100"/>
      <c r="P21" s="100"/>
      <c r="Q21" s="100"/>
      <c r="R21" s="100"/>
      <c r="S21" s="100"/>
      <c r="T21" s="100"/>
      <c r="U21" s="100"/>
    </row>
    <row r="22" ht="24" customHeight="true">
      <c r="A22" s="100"/>
      <c r="B22" s="100"/>
      <c r="C22" s="100"/>
      <c r="D22" s="36" t="n">
        <f>'使い方と設定'!$B$12+5</f>
        <v>46130</v>
      </c>
      <c r="E22" s="135" t="s">
        <v>76</v>
      </c>
      <c r="F22" s="135" t="n">
        <f>SUMPRODUCT(('点検計画'!$G$6:$G$205&lt;=D22)*('点検計画'!$H$6:$H$205&gt;=D22)*('点検計画'!$K$6:$K$205))</f>
        <v>23</v>
      </c>
      <c r="G22" s="100"/>
      <c r="H22" s="100"/>
      <c r="I22" s="100"/>
      <c r="J22" s="100"/>
      <c r="K22" s="100"/>
      <c r="L22" s="100"/>
      <c r="M22" s="100"/>
      <c r="N22" s="100"/>
      <c r="O22" s="100"/>
      <c r="P22" s="100"/>
      <c r="Q22" s="100"/>
      <c r="R22" s="100"/>
      <c r="S22" s="100"/>
      <c r="T22" s="100"/>
      <c r="U22" s="100"/>
    </row>
    <row r="23" ht="24" customHeight="true">
      <c r="A23" s="100"/>
      <c r="B23" s="100"/>
      <c r="C23" s="100"/>
      <c r="D23" s="36" t="n">
        <f>'使い方と設定'!$B$12+6</f>
        <v>46131</v>
      </c>
      <c r="E23" s="135" t="s">
        <v>77</v>
      </c>
      <c r="F23" s="135" t="n">
        <f>SUMPRODUCT(('点検計画'!$G$6:$G$205&lt;=D23)*('点検計画'!$H$6:$H$205&gt;=D23)*('点検計画'!$K$6:$K$205))</f>
        <v>23</v>
      </c>
      <c r="G23" s="100"/>
      <c r="H23" s="100"/>
      <c r="I23" s="100"/>
      <c r="J23" s="100"/>
      <c r="K23" s="100"/>
      <c r="L23" s="100"/>
      <c r="M23" s="100"/>
      <c r="N23" s="100"/>
      <c r="O23" s="100"/>
      <c r="P23" s="100"/>
      <c r="Q23" s="100"/>
      <c r="R23" s="100"/>
      <c r="S23" s="100"/>
      <c r="T23" s="100"/>
      <c r="U23" s="100"/>
    </row>
    <row r="24" ht="24" customHeight="true">
      <c r="A24" s="100"/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100"/>
      <c r="R24" s="100"/>
      <c r="S24" s="100"/>
      <c r="T24" s="100"/>
      <c r="U24" s="100"/>
    </row>
    <row r="25" ht="24" customHeight="true">
      <c r="A25" s="102" t="str">
        <v>关注项</v>
      </c>
      <c r="B25" s="102" t="s">
        <v>66</v>
      </c>
      <c r="C25" s="102" t="str">
        <v>推奨动作</v>
      </c>
      <c r="D25" s="120" t="str">
        <v>适用業務シーン</v>
      </c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00"/>
    </row>
    <row r="26" ht="44" customHeight="true">
      <c r="A26" s="32" t="s">
        <v>78</v>
      </c>
      <c r="B26" s="32" t="n">
        <f>COUNTIF('点検記録'!$K$6:$K$205,"高")+COUNTIF('点検記録'!$K$6:$K$205,"重大")</f>
        <v>2</v>
      </c>
      <c r="C26" s="32" t="s">
        <v>79</v>
      </c>
      <c r="D26" s="121" t="s">
        <v>80</v>
      </c>
      <c r="E26" s="32" t="s">
        <v>81</v>
      </c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0"/>
      <c r="T26" s="100"/>
      <c r="U26" s="100"/>
    </row>
    <row r="27" ht="44" customHeight="true">
      <c r="A27" s="32" t="s">
        <v>60</v>
      </c>
      <c r="B27" s="32" t="n">
        <f>COUNTIF('改善・修理'!$Q$6:$Q$205,"期限超過")</f>
        <v>3</v>
      </c>
      <c r="C27" s="32" t="s">
        <v>82</v>
      </c>
      <c r="D27" s="121" t="s">
        <v>83</v>
      </c>
      <c r="E27" s="32" t="s">
        <v>84</v>
      </c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</row>
    <row r="28" ht="44" customHeight="true">
      <c r="A28" s="32" t="s">
        <v>85</v>
      </c>
      <c r="B28" s="32" t="n">
        <f>COUNTIF('写真台帳'!$I$6:$I$205,"需补充")</f>
        <v>1</v>
      </c>
      <c r="C28" s="32" t="s">
        <v>86</v>
      </c>
      <c r="D28" s="121" t="s">
        <v>87</v>
      </c>
      <c r="E28" s="32" t="s">
        <v>88</v>
      </c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0"/>
      <c r="T28" s="100"/>
      <c r="U28" s="100"/>
    </row>
    <row r="29" ht="44" customHeight="true">
      <c r="A29" s="32" t="s">
        <v>89</v>
      </c>
      <c r="B29" s="32" t="n">
        <f>COUNTIF('改善・修理'!$G$6:$G$205,"P1-即時")</f>
        <v>1</v>
      </c>
      <c r="C29" s="32" t="s">
        <v>90</v>
      </c>
      <c r="D29" s="121" t="s">
        <v>91</v>
      </c>
      <c r="E29" s="32" t="s">
        <v>92</v>
      </c>
      <c r="F29" s="100"/>
      <c r="G29" s="100"/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</row>
    <row r="30" ht="44" customHeight="true">
      <c r="A30" s="32" t="s">
        <v>93</v>
      </c>
      <c r="B30" s="32" t="n">
        <f>COUNTIFS('点検計画'!$G$6:$G$205,"&lt;="&amp;'使い方と設定'!$B$12+6,'点検計画'!$H$6:$H$205,"&gt;="&amp;'使い方と設定'!$B$12)</f>
        <v>2</v>
      </c>
      <c r="C30" s="32" t="str">
        <v>纳入周例会和班前会提醒</v>
      </c>
      <c r="D30" s="121" t="str">
        <v>月报/审计</v>
      </c>
      <c r="E30" s="32" t="s">
        <v>94</v>
      </c>
      <c r="F30" s="100"/>
      <c r="G30" s="100"/>
      <c r="H30" s="100"/>
      <c r="I30" s="100"/>
      <c r="J30" s="100"/>
      <c r="K30" s="100"/>
      <c r="L30" s="100"/>
      <c r="M30" s="100"/>
      <c r="N30" s="100"/>
      <c r="O30" s="100"/>
      <c r="P30" s="100"/>
      <c r="Q30" s="100"/>
      <c r="R30" s="100"/>
      <c r="S30" s="100"/>
      <c r="T30" s="100"/>
      <c r="U30" s="100"/>
    </row>
  </sheetData>
  <mergeCells count="4">
    <mergeCell ref="A1:K1"/>
    <mergeCell ref="A2:K2"/>
    <mergeCell ref="A4:K4"/>
    <mergeCell ref="D25:K25"/>
  </mergeCells>
  <conditionalFormatting sqref="B26:B30">
    <cfRule type="cellIs" dxfId="13" priority="1" operator="greaterThan">
      <formula>0</formula>
    </cfRule>
  </conditionalFormatting>
  <conditionalFormatting sqref="B27:B27">
    <cfRule type="cellIs" dxfId="14" priority="2" operator="greaterThan">
      <formula>0</formula>
    </cfRule>
  </conditionalFormatting>
  <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  <drawing r:id="R6e1103589e154a43"/>
</worksheet>
</file>

<file path=xl/worksheets/sheet3.xml><?xml version="1.0" encoding="utf-8"?>
<worksheet xmlns="http://schemas.openxmlformats.org/spreadsheetml/2006/main" xmlns:r="http://schemas.openxmlformats.org/officeDocument/2006/relationships">
  <dimension ref="A1:U11"/>
  <sheetViews>
    <sheetView workbookViewId="0"/>
  </sheetViews>
  <sheetFormatPr defaultRowHeight="15"/>
  <cols>
    <col customWidth="true" max="1" min="1" width="13"/>
    <col customWidth="true" max="2" min="2" width="14"/>
    <col customWidth="true" max="3" min="3" width="18"/>
    <col customWidth="true" max="5" min="4" width="16"/>
    <col customWidth="true" max="6" min="6" width="18"/>
    <col customWidth="true" max="7" min="7" width="14"/>
    <col customWidth="true" max="9" min="8" width="18"/>
    <col customWidth="true" max="10" min="10" width="12"/>
    <col customWidth="true" max="11" min="11" width="14"/>
    <col customWidth="true" max="16" min="12" width="12"/>
    <col customWidth="true" max="17" min="17" width="14"/>
    <col customWidth="true" max="18" min="18" width="12"/>
    <col customWidth="true" max="19" min="19" width="30"/>
  </cols>
  <sheetData>
    <row r="1" ht="34" customHeight="true">
      <c r="A1" s="99" t="s">
        <v>95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</row>
    <row r="2" ht="30" customHeight="true">
      <c r="A2" s="101" t="s">
        <v>96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</row>
    <row r="3">
      <c r="A3" s="100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</row>
    <row r="4">
      <c r="A4" s="100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</row>
    <row r="5" ht="28" customHeight="true">
      <c r="A5" s="102" t="s">
        <v>97</v>
      </c>
      <c r="B5" s="102" t="s">
        <v>98</v>
      </c>
      <c r="C5" s="102" t="s">
        <v>99</v>
      </c>
      <c r="D5" s="102" t="str">
        <v>規格型式</v>
      </c>
      <c r="E5" s="102" t="str">
        <v>序列号/车牌</v>
      </c>
      <c r="F5" s="102" t="s">
        <v>100</v>
      </c>
      <c r="G5" s="102" t="s">
        <v>101</v>
      </c>
      <c r="H5" s="102" t="s">
        <v>53</v>
      </c>
      <c r="I5" s="102" t="str">
        <v>区域/階数</v>
      </c>
      <c r="J5" s="102" t="s">
        <v>102</v>
      </c>
      <c r="K5" s="102" t="str">
        <v>联系电话</v>
      </c>
      <c r="L5" s="102" t="str">
        <v>重要ランク</v>
      </c>
      <c r="M5" s="102" t="s">
        <v>103</v>
      </c>
      <c r="N5" s="102" t="s">
        <v>104</v>
      </c>
      <c r="O5" s="102" t="s">
        <v>105</v>
      </c>
      <c r="P5" s="102" t="s">
        <v>106</v>
      </c>
      <c r="Q5" s="102" t="s">
        <v>107</v>
      </c>
      <c r="R5" s="102" t="s">
        <v>108</v>
      </c>
      <c r="S5" s="102" t="s">
        <v>109</v>
      </c>
      <c r="T5" s="100"/>
      <c r="U5" s="100"/>
    </row>
    <row r="6" ht="42" customHeight="true">
      <c r="A6" s="32" t="str">
        <v>EQ-001</v>
      </c>
      <c r="B6" s="32" t="s">
        <v>110</v>
      </c>
      <c r="C6" s="32" t="s">
        <v>111</v>
      </c>
      <c r="D6" s="32" t="str">
        <v>48.3mm 钢管</v>
      </c>
      <c r="E6" s="32" t="str">
        <v>SCF-001</v>
      </c>
      <c r="F6" s="32" t="s">
        <v>112</v>
      </c>
      <c r="G6" s="32" t="s">
        <v>113</v>
      </c>
      <c r="H6" s="32" t="s">
        <v>10</v>
      </c>
      <c r="I6" s="32" t="s">
        <v>114</v>
      </c>
      <c r="J6" s="32" t="s">
        <v>115</v>
      </c>
      <c r="K6" s="32" t="str">
        <v>13800000001</v>
      </c>
      <c r="L6" s="32" t="str">
        <v>高</v>
      </c>
      <c r="M6" s="32" t="str">
        <v>每周</v>
      </c>
      <c r="N6" s="32" t="s">
        <v>116</v>
      </c>
      <c r="O6" s="32" t="s">
        <v>117</v>
      </c>
      <c r="P6" s="36" t="n">
        <v>46113</v>
      </c>
      <c r="Q6" s="36" t="n">
        <v>46125</v>
      </c>
      <c r="R6" s="32" t="s">
        <v>118</v>
      </c>
      <c r="S6" s="32" t="s">
        <v>119</v>
      </c>
      <c r="T6" s="100"/>
      <c r="U6" s="100"/>
    </row>
    <row r="7" ht="42" customHeight="true">
      <c r="A7" s="32" t="str">
        <v>EQ-002</v>
      </c>
      <c r="B7" s="32" t="s">
        <v>120</v>
      </c>
      <c r="C7" s="32" t="str">
        <v>一级配电箱</v>
      </c>
      <c r="D7" s="32" t="str">
        <v>380V/200A</v>
      </c>
      <c r="E7" s="32" t="str">
        <v>PDX-002</v>
      </c>
      <c r="F7" s="32" t="s">
        <v>121</v>
      </c>
      <c r="G7" s="32" t="s">
        <v>122</v>
      </c>
      <c r="H7" s="32" t="s">
        <v>10</v>
      </c>
      <c r="I7" s="32" t="s">
        <v>123</v>
      </c>
      <c r="J7" s="32" t="s">
        <v>124</v>
      </c>
      <c r="K7" s="32" t="str">
        <v>13800000002</v>
      </c>
      <c r="L7" s="32" t="str">
        <v>重大</v>
      </c>
      <c r="M7" s="32" t="str">
        <v>每日</v>
      </c>
      <c r="N7" s="32" t="s">
        <v>116</v>
      </c>
      <c r="O7" s="32" t="s">
        <v>116</v>
      </c>
      <c r="P7" s="36" t="n">
        <v>46113</v>
      </c>
      <c r="Q7" s="36" t="n">
        <v>46126</v>
      </c>
      <c r="R7" s="32" t="s">
        <v>118</v>
      </c>
      <c r="S7" s="32" t="str">
        <v>需检查漏保、接地、箱门锁</v>
      </c>
      <c r="T7" s="100"/>
      <c r="U7" s="100"/>
    </row>
    <row r="8" ht="42" customHeight="true">
      <c r="A8" s="32" t="str">
        <v>EQ-003</v>
      </c>
      <c r="B8" s="32" t="s">
        <v>125</v>
      </c>
      <c r="C8" s="32" t="s">
        <v>126</v>
      </c>
      <c r="D8" s="32" t="str">
        <v>SC200/200</v>
      </c>
      <c r="E8" s="32" t="str">
        <v>HOIST-003</v>
      </c>
      <c r="F8" s="32" t="s">
        <v>127</v>
      </c>
      <c r="G8" s="32" t="s">
        <v>128</v>
      </c>
      <c r="H8" s="32" t="s">
        <v>10</v>
      </c>
      <c r="I8" s="32" t="s">
        <v>129</v>
      </c>
      <c r="J8" s="32" t="s">
        <v>130</v>
      </c>
      <c r="K8" s="32" t="str">
        <v>13800000003</v>
      </c>
      <c r="L8" s="32" t="str">
        <v>重大</v>
      </c>
      <c r="M8" s="32" t="str">
        <v>每日</v>
      </c>
      <c r="N8" s="32" t="s">
        <v>116</v>
      </c>
      <c r="O8" s="32" t="s">
        <v>116</v>
      </c>
      <c r="P8" s="36" t="n">
        <v>46117</v>
      </c>
      <c r="Q8" s="36" t="n">
        <v>46127</v>
      </c>
      <c r="R8" s="32" t="s">
        <v>131</v>
      </c>
      <c r="S8" s="32" t="str">
        <v>限位、制动、钢丝绳</v>
      </c>
      <c r="T8" s="100"/>
      <c r="U8" s="100"/>
    </row>
    <row r="9" ht="42" customHeight="true">
      <c r="A9" s="32" t="str">
        <v>EQ-004</v>
      </c>
      <c r="B9" s="32" t="str">
        <v>消防セキュリティ</v>
      </c>
      <c r="C9" s="32" t="s">
        <v>132</v>
      </c>
      <c r="D9" s="32" t="str">
        <v>4kg ABC</v>
      </c>
      <c r="E9" s="32" t="str">
        <v>FIRE-004</v>
      </c>
      <c r="F9" s="32" t="s">
        <v>121</v>
      </c>
      <c r="G9" s="32" t="s">
        <v>122</v>
      </c>
      <c r="H9" s="32" t="s">
        <v>10</v>
      </c>
      <c r="I9" s="32" t="str">
        <v>材料堆场</v>
      </c>
      <c r="J9" s="32" t="s">
        <v>133</v>
      </c>
      <c r="K9" s="32" t="str">
        <v>13800000004</v>
      </c>
      <c r="L9" s="32" t="str">
        <v>中</v>
      </c>
      <c r="M9" s="32" t="str">
        <v>每月</v>
      </c>
      <c r="N9" s="32" t="s">
        <v>116</v>
      </c>
      <c r="O9" s="32" t="s">
        <v>117</v>
      </c>
      <c r="P9" s="36" t="n">
        <v>46113</v>
      </c>
      <c r="Q9" s="36" t="n">
        <v>46143</v>
      </c>
      <c r="R9" s="32" t="s">
        <v>118</v>
      </c>
      <c r="S9" s="32" t="str">
        <v>检查压力表和有効期</v>
      </c>
      <c r="T9" s="100"/>
      <c r="U9" s="100"/>
    </row>
    <row r="10" ht="42" customHeight="true">
      <c r="A10" s="32" t="str">
        <v>EQ-005</v>
      </c>
      <c r="B10" s="32" t="s">
        <v>134</v>
      </c>
      <c r="C10" s="32" t="s">
        <v>135</v>
      </c>
      <c r="D10" s="32" t="str">
        <v>20T</v>
      </c>
      <c r="E10" s="32" t="str">
        <v>EXC-005</v>
      </c>
      <c r="F10" s="32" t="s">
        <v>136</v>
      </c>
      <c r="G10" s="32" t="s">
        <v>128</v>
      </c>
      <c r="H10" s="32" t="s">
        <v>10</v>
      </c>
      <c r="I10" s="32" t="str">
        <v>基坑区域</v>
      </c>
      <c r="J10" s="32" t="s">
        <v>137</v>
      </c>
      <c r="K10" s="32" t="str">
        <v>13800000005</v>
      </c>
      <c r="L10" s="32" t="str">
        <v>高</v>
      </c>
      <c r="M10" s="32" t="str">
        <v>每次使用前</v>
      </c>
      <c r="N10" s="32" t="s">
        <v>116</v>
      </c>
      <c r="O10" s="32" t="s">
        <v>117</v>
      </c>
      <c r="P10" s="36" t="n">
        <v>46122</v>
      </c>
      <c r="Q10" s="36" t="n">
        <v>46125</v>
      </c>
      <c r="R10" s="32" t="s">
        <v>118</v>
      </c>
      <c r="S10" s="32" t="str">
        <v>检查液压油、回转、警示灯</v>
      </c>
      <c r="T10" s="100"/>
      <c r="U10" s="100"/>
    </row>
    <row r="11" ht="42" customHeight="true">
      <c r="A11" s="32" t="str">
        <v>EQ-006</v>
      </c>
      <c r="B11" s="32" t="s">
        <v>138</v>
      </c>
      <c r="C11" s="32" t="s">
        <v>139</v>
      </c>
      <c r="D11" s="32" t="str">
        <v>350L</v>
      </c>
      <c r="E11" s="32" t="str">
        <v>MIX-006</v>
      </c>
      <c r="F11" s="32" t="s">
        <v>140</v>
      </c>
      <c r="G11" s="32" t="s">
        <v>113</v>
      </c>
      <c r="H11" s="32" t="s">
        <v>10</v>
      </c>
      <c r="I11" s="32" t="str">
        <v>加工区</v>
      </c>
      <c r="J11" s="32" t="s">
        <v>141</v>
      </c>
      <c r="K11" s="32" t="str">
        <v>13800000006</v>
      </c>
      <c r="L11" s="32" t="str">
        <v>中</v>
      </c>
      <c r="M11" s="32" t="str">
        <v>每周</v>
      </c>
      <c r="N11" s="32" t="s">
        <v>117</v>
      </c>
      <c r="O11" s="32" t="s">
        <v>117</v>
      </c>
      <c r="P11" s="36" t="n">
        <v>46120</v>
      </c>
      <c r="Q11" s="36" t="n">
        <v>46132</v>
      </c>
      <c r="R11" s="32" t="s">
        <v>142</v>
      </c>
      <c r="S11" s="32" t="s">
        <v>143</v>
      </c>
      <c r="T11" s="100"/>
      <c r="U11" s="100"/>
    </row>
  </sheetData>
  <mergeCells count="2">
    <mergeCell ref="A1:S1"/>
    <mergeCell ref="A2:S2"/>
  </mergeCells>
  <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U11"/>
  <sheetViews>
    <sheetView workbookViewId="0"/>
  </sheetViews>
  <sheetFormatPr defaultRowHeight="15"/>
  <cols>
    <col customWidth="true" max="1" min="1" width="16"/>
    <col customWidth="true" max="3" min="2" width="12"/>
    <col customWidth="true" max="5" min="4" width="18"/>
    <col customWidth="true" max="6" min="6" width="14"/>
    <col customWidth="true" max="9" min="7" width="12"/>
    <col customWidth="true" max="10" min="10" width="16"/>
    <col customWidth="true" max="13" min="11" width="12"/>
    <col customWidth="true" max="14" min="14" width="28"/>
    <col customWidth="true" max="15" min="15" width="12"/>
  </cols>
  <sheetData>
    <row r="1" ht="34" customHeight="true">
      <c r="A1" s="99" t="s">
        <v>144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</row>
    <row r="2" ht="30" customHeight="true">
      <c r="A2" s="101" t="s">
        <v>145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</row>
    <row r="3">
      <c r="A3" s="100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</row>
    <row r="4">
      <c r="A4" s="100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</row>
    <row r="5" ht="28" customHeight="true">
      <c r="A5" s="102" t="s">
        <v>146</v>
      </c>
      <c r="B5" s="102" t="s">
        <v>97</v>
      </c>
      <c r="C5" s="102" t="s">
        <v>98</v>
      </c>
      <c r="D5" s="102" t="s">
        <v>99</v>
      </c>
      <c r="E5" s="102" t="s">
        <v>53</v>
      </c>
      <c r="F5" s="102" t="s">
        <v>147</v>
      </c>
      <c r="G5" s="102" t="s">
        <v>148</v>
      </c>
      <c r="H5" s="102" t="s">
        <v>149</v>
      </c>
      <c r="I5" s="102" t="s">
        <v>102</v>
      </c>
      <c r="J5" s="102" t="s">
        <v>150</v>
      </c>
      <c r="K5" s="102" t="s">
        <v>151</v>
      </c>
      <c r="L5" s="102" t="s">
        <v>152</v>
      </c>
      <c r="M5" s="102" t="s">
        <v>153</v>
      </c>
      <c r="N5" s="102" t="s">
        <v>154</v>
      </c>
      <c r="O5" s="102" t="s">
        <v>155</v>
      </c>
      <c r="P5" s="100"/>
      <c r="Q5" s="100"/>
      <c r="R5" s="100"/>
      <c r="S5" s="100"/>
      <c r="T5" s="100"/>
      <c r="U5" s="100"/>
    </row>
    <row r="6" ht="42" customHeight="true">
      <c r="A6" s="32" t="str">
        <v>PL-2026-04-001</v>
      </c>
      <c r="B6" s="32" t="str">
        <v>EQ-001</v>
      </c>
      <c r="C6" s="32" t="str">
        <f>IF($B6="","",IFERROR(VLOOKUP($B6,'機材台帳'!$A$6:$S$205,2,FALSE),""))</f>
        <v>足場</v>
      </c>
      <c r="D6" s="32" t="str">
        <f>IF($B6="","",IFERROR(VLOOKUP($B6,'機材台帳'!$A$6:$S$205,3,FALSE),""))</f>
        <v>落地式足場</v>
      </c>
      <c r="E6" s="32" t="str">
        <f>IF($B6="","",IFERROR(VLOOKUP($B6,'機材台帳'!$A$6:$S$205,8,FALSE),""))</f>
        <v>東京第一現場</v>
      </c>
      <c r="F6" s="32" t="s">
        <v>156</v>
      </c>
      <c r="G6" s="36" t="n">
        <v>46113</v>
      </c>
      <c r="H6" s="36" t="n">
        <v>46115</v>
      </c>
      <c r="I6" s="32" t="s">
        <v>157</v>
      </c>
      <c r="J6" s="32" t="s">
        <v>112</v>
      </c>
      <c r="K6" s="38" t="n">
        <v>12</v>
      </c>
      <c r="L6" s="32" t="s">
        <v>158</v>
      </c>
      <c r="M6" s="32" t="str">
        <v>P3-3天</v>
      </c>
      <c r="N6" s="32" t="s">
        <v>159</v>
      </c>
      <c r="O6" s="32" t="s">
        <v>117</v>
      </c>
      <c r="P6" s="100"/>
      <c r="Q6" s="100"/>
      <c r="R6" s="100"/>
      <c r="S6" s="100"/>
      <c r="T6" s="100"/>
      <c r="U6" s="100"/>
    </row>
    <row r="7" ht="42" customHeight="true">
      <c r="A7" s="32" t="str">
        <v>PL-2026-04-002</v>
      </c>
      <c r="B7" s="32" t="str">
        <v>EQ-002</v>
      </c>
      <c r="C7" s="32" t="str">
        <f>IF($B7="","",IFERROR(VLOOKUP($B7,'機材台帳'!$A$6:$S$205,2,FALSE),""))</f>
        <v>仮設電気</v>
      </c>
      <c r="D7" s="32" t="str">
        <f>IF($B7="","",IFERROR(VLOOKUP($B7,'機材台帳'!$A$6:$S$205,3,FALSE),""))</f>
        <v>一级配电箱</v>
      </c>
      <c r="E7" s="32" t="str">
        <f>IF($B7="","",IFERROR(VLOOKUP($B7,'機材台帳'!$A$6:$S$205,8,FALSE),""))</f>
        <v>東京第一現場</v>
      </c>
      <c r="F7" s="32" t="s">
        <v>160</v>
      </c>
      <c r="G7" s="36" t="n">
        <v>46116</v>
      </c>
      <c r="H7" s="36" t="n">
        <v>46123</v>
      </c>
      <c r="I7" s="32" t="s">
        <v>161</v>
      </c>
      <c r="J7" s="32" t="s">
        <v>121</v>
      </c>
      <c r="K7" s="38" t="n">
        <v>20</v>
      </c>
      <c r="L7" s="32" t="s">
        <v>162</v>
      </c>
      <c r="M7" s="32" t="str">
        <v>P2-24時間</v>
      </c>
      <c r="N7" s="32" t="s">
        <v>163</v>
      </c>
      <c r="O7" s="32" t="s">
        <v>116</v>
      </c>
      <c r="P7" s="100"/>
      <c r="Q7" s="100"/>
      <c r="R7" s="100"/>
      <c r="S7" s="100"/>
      <c r="T7" s="100"/>
      <c r="U7" s="100"/>
    </row>
    <row r="8" ht="42" customHeight="true">
      <c r="A8" s="32" t="str">
        <v>PL-2026-04-003</v>
      </c>
      <c r="B8" s="32" t="str">
        <v>EQ-003</v>
      </c>
      <c r="C8" s="32" t="str">
        <f>IF($B8="","",IFERROR(VLOOKUP($B8,'機材台帳'!$A$6:$S$205,2,FALSE),""))</f>
        <v>揚重機</v>
      </c>
      <c r="D8" s="32" t="str">
        <f>IF($B8="","",IFERROR(VLOOKUP($B8,'機材台帳'!$A$6:$S$205,3,FALSE),""))</f>
        <v>工事用エレベーター</v>
      </c>
      <c r="E8" s="32" t="str">
        <f>IF($B8="","",IFERROR(VLOOKUP($B8,'機材台帳'!$A$6:$S$205,8,FALSE),""))</f>
        <v>東京第一現場</v>
      </c>
      <c r="F8" s="32" t="s">
        <v>164</v>
      </c>
      <c r="G8" s="36" t="n">
        <v>46124</v>
      </c>
      <c r="H8" s="36" t="n">
        <v>46133</v>
      </c>
      <c r="I8" s="32" t="s">
        <v>165</v>
      </c>
      <c r="J8" s="32" t="s">
        <v>127</v>
      </c>
      <c r="K8" s="38" t="n">
        <v>16</v>
      </c>
      <c r="L8" s="32" t="s">
        <v>166</v>
      </c>
      <c r="M8" s="32" t="str">
        <v>P1-即時</v>
      </c>
      <c r="N8" s="32" t="s">
        <v>167</v>
      </c>
      <c r="O8" s="32" t="s">
        <v>116</v>
      </c>
      <c r="P8" s="100"/>
      <c r="Q8" s="100"/>
      <c r="R8" s="100"/>
      <c r="S8" s="100"/>
      <c r="T8" s="100"/>
      <c r="U8" s="100"/>
    </row>
    <row r="9" ht="42" customHeight="true">
      <c r="A9" s="32" t="str">
        <v>PL-2026-05-001</v>
      </c>
      <c r="B9" s="32" t="str">
        <v>EQ-004</v>
      </c>
      <c r="C9" s="32" t="str">
        <f>IF($B9="","",IFERROR(VLOOKUP($B9,'機材台帳'!$A$6:$S$205,2,FALSE),""))</f>
        <v>消防セキュリティ</v>
      </c>
      <c r="D9" s="32" t="str">
        <f>IF($B9="","",IFERROR(VLOOKUP($B9,'機材台帳'!$A$6:$S$205,3,FALSE),""))</f>
        <v>消火器箱</v>
      </c>
      <c r="E9" s="32" t="str">
        <f>IF($B9="","",IFERROR(VLOOKUP($B9,'機材台帳'!$A$6:$S$205,8,FALSE),""))</f>
        <v>東京第一現場</v>
      </c>
      <c r="F9" s="32" t="s">
        <v>168</v>
      </c>
      <c r="G9" s="36" t="n">
        <v>46143</v>
      </c>
      <c r="H9" s="36" t="n">
        <v>46154</v>
      </c>
      <c r="I9" s="32" t="s">
        <v>169</v>
      </c>
      <c r="J9" s="32" t="s">
        <v>121</v>
      </c>
      <c r="K9" s="38" t="n">
        <v>8</v>
      </c>
      <c r="L9" s="32" t="s">
        <v>166</v>
      </c>
      <c r="M9" s="32" t="str">
        <v>P4-7天</v>
      </c>
      <c r="N9" s="32" t="str">
        <v>消防器材有効期</v>
      </c>
      <c r="O9" s="32" t="s">
        <v>117</v>
      </c>
      <c r="P9" s="100"/>
      <c r="Q9" s="100"/>
      <c r="R9" s="100"/>
      <c r="S9" s="100"/>
      <c r="T9" s="100"/>
      <c r="U9" s="100"/>
    </row>
    <row r="10" ht="42" customHeight="true">
      <c r="A10" s="32" t="str">
        <v>PL-2026-04-004</v>
      </c>
      <c r="B10" s="32" t="str">
        <v>EQ-005</v>
      </c>
      <c r="C10" s="32" t="str">
        <f>IF($B10="","",IFERROR(VLOOKUP($B10,'機材台帳'!$A$6:$S$205,2,FALSE),""))</f>
        <v>土工機械</v>
      </c>
      <c r="D10" s="32" t="str">
        <f>IF($B10="","",IFERROR(VLOOKUP($B10,'機材台帳'!$A$6:$S$205,3,FALSE),""))</f>
        <v>油圧ショベル</v>
      </c>
      <c r="E10" s="32" t="str">
        <f>IF($B10="","",IFERROR(VLOOKUP($B10,'機材台帳'!$A$6:$S$205,8,FALSE),""))</f>
        <v>東京第一現場</v>
      </c>
      <c r="F10" s="32" t="str">
        <v>每次使用前</v>
      </c>
      <c r="G10" s="36" t="n">
        <v>46125</v>
      </c>
      <c r="H10" s="36" t="n">
        <v>46131</v>
      </c>
      <c r="I10" s="32" t="s">
        <v>170</v>
      </c>
      <c r="J10" s="32" t="s">
        <v>136</v>
      </c>
      <c r="K10" s="38" t="n">
        <v>7</v>
      </c>
      <c r="L10" s="32" t="s">
        <v>162</v>
      </c>
      <c r="M10" s="32" t="str">
        <v>P2-24時間</v>
      </c>
      <c r="N10" s="32" t="s">
        <v>171</v>
      </c>
      <c r="O10" s="32" t="s">
        <v>117</v>
      </c>
      <c r="P10" s="100"/>
      <c r="Q10" s="100"/>
      <c r="R10" s="100"/>
      <c r="S10" s="100"/>
      <c r="T10" s="100"/>
      <c r="U10" s="100"/>
    </row>
    <row r="11" ht="42" customHeight="true">
      <c r="A11" s="32" t="str">
        <v>PL-2026-04-005</v>
      </c>
      <c r="B11" s="32" t="str">
        <v>EQ-006</v>
      </c>
      <c r="C11" s="32" t="str">
        <f>IF($B11="","",IFERROR(VLOOKUP($B11,'機材台帳'!$A$6:$S$205,2,FALSE),""))</f>
        <v>コンクリート機材</v>
      </c>
      <c r="D11" s="32" t="str">
        <f>IF($B11="","",IFERROR(VLOOKUP($B11,'機材台帳'!$A$6:$S$205,3,FALSE),""))</f>
        <v>モルタルミキサー</v>
      </c>
      <c r="E11" s="32" t="str">
        <f>IF($B11="","",IFERROR(VLOOKUP($B11,'機材台帳'!$A$6:$S$205,8,FALSE),""))</f>
        <v>東京第一現場</v>
      </c>
      <c r="F11" s="32" t="s">
        <v>156</v>
      </c>
      <c r="G11" s="36" t="n">
        <v>46132</v>
      </c>
      <c r="H11" s="36" t="n">
        <v>46132</v>
      </c>
      <c r="I11" s="32" t="s">
        <v>172</v>
      </c>
      <c r="J11" s="32" t="s">
        <v>140</v>
      </c>
      <c r="K11" s="38" t="n">
        <v>3</v>
      </c>
      <c r="L11" s="32" t="s">
        <v>166</v>
      </c>
      <c r="M11" s="32" t="str">
        <v>観察项</v>
      </c>
      <c r="N11" s="32" t="s">
        <v>173</v>
      </c>
      <c r="O11" s="32" t="s">
        <v>117</v>
      </c>
      <c r="P11" s="100"/>
      <c r="Q11" s="100"/>
      <c r="R11" s="100"/>
      <c r="S11" s="100"/>
      <c r="T11" s="100"/>
      <c r="U11" s="100"/>
    </row>
  </sheetData>
  <mergeCells count="2">
    <mergeCell ref="A1:O1"/>
    <mergeCell ref="A2:O2"/>
  </mergeCells>
  <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U10"/>
  <sheetViews>
    <sheetView workbookViewId="0"/>
  </sheetViews>
  <sheetFormatPr defaultRowHeight="15"/>
  <cols>
    <col customWidth="true" max="1" min="1" width="14"/>
    <col customWidth="true" max="4" min="2" width="12"/>
    <col customWidth="true" max="6" min="5" width="18"/>
    <col customWidth="true" max="7" min="7" width="12"/>
    <col customWidth="true" max="8" min="8" width="14"/>
    <col customWidth="true" max="9" min="9" width="28"/>
    <col customWidth="true" max="11" min="10" width="12"/>
    <col customWidth="true" max="12" min="12" width="10"/>
    <col customWidth="true" max="13" min="13" width="34"/>
    <col customWidth="true" max="18" min="14" width="12"/>
    <col customWidth="true" max="19" min="19" width="16"/>
    <col customWidth="true" max="20" min="20" width="26"/>
    <col customWidth="true" max="21" min="21" width="12"/>
  </cols>
  <sheetData>
    <row r="1" ht="34" customHeight="true">
      <c r="A1" s="99" t="s">
        <v>174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</row>
    <row r="2" ht="30" customHeight="true">
      <c r="A2" s="101" t="s">
        <v>175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</row>
    <row r="3">
      <c r="A3" s="100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</row>
    <row r="4">
      <c r="A4" s="100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</row>
    <row r="5" ht="28" customHeight="true">
      <c r="A5" s="102" t="s">
        <v>176</v>
      </c>
      <c r="B5" s="102" t="s">
        <v>177</v>
      </c>
      <c r="C5" s="102" t="s">
        <v>97</v>
      </c>
      <c r="D5" s="102" t="s">
        <v>98</v>
      </c>
      <c r="E5" s="102" t="s">
        <v>99</v>
      </c>
      <c r="F5" s="102" t="s">
        <v>53</v>
      </c>
      <c r="G5" s="102" t="s">
        <v>16</v>
      </c>
      <c r="H5" s="102" t="s">
        <v>147</v>
      </c>
      <c r="I5" s="102" t="s">
        <v>178</v>
      </c>
      <c r="J5" s="102" t="s">
        <v>65</v>
      </c>
      <c r="K5" s="102" t="s">
        <v>179</v>
      </c>
      <c r="L5" s="102" t="s">
        <v>180</v>
      </c>
      <c r="M5" s="102" t="s">
        <v>181</v>
      </c>
      <c r="N5" s="102" t="s">
        <v>182</v>
      </c>
      <c r="O5" s="102" t="s">
        <v>183</v>
      </c>
      <c r="P5" s="102" t="s">
        <v>184</v>
      </c>
      <c r="Q5" s="102" t="s">
        <v>185</v>
      </c>
      <c r="R5" s="102" t="s">
        <v>186</v>
      </c>
      <c r="S5" s="102" t="s">
        <v>187</v>
      </c>
      <c r="T5" s="102" t="s">
        <v>109</v>
      </c>
      <c r="U5" s="102" t="s">
        <v>188</v>
      </c>
    </row>
    <row r="6" ht="42" customHeight="true">
      <c r="A6" s="32" t="str">
        <v>INSP-001</v>
      </c>
      <c r="B6" s="36" t="n">
        <v>46113</v>
      </c>
      <c r="C6" s="32" t="str">
        <v>EQ-001</v>
      </c>
      <c r="D6" s="32" t="str">
        <f>IF($C6="","",IFERROR(VLOOKUP($C6,'機材台帳'!$A$6:$S$205,2,FALSE),""))</f>
        <v>足場</v>
      </c>
      <c r="E6" s="32" t="str">
        <f>IF($C6="","",IFERROR(VLOOKUP($C6,'機材台帳'!$A$6:$S$205,3,FALSE),""))</f>
        <v>落地式足場</v>
      </c>
      <c r="F6" s="32" t="str">
        <f>IF($C6="","",IFERROR(VLOOKUP($C6,'機材台帳'!$A$6:$S$205,8,FALSE),""))</f>
        <v>東京第一現場</v>
      </c>
      <c r="G6" s="32" t="s">
        <v>157</v>
      </c>
      <c r="H6" s="32" t="s">
        <v>156</v>
      </c>
      <c r="I6" s="32" t="str">
        <v>ベース、连墙件、脚手板、衛生用品栏杆</v>
      </c>
      <c r="J6" s="32" t="str">
        <v>合格</v>
      </c>
      <c r="K6" s="32" t="str">
        <v>中</v>
      </c>
      <c r="L6" s="38" t="n">
        <v>2</v>
      </c>
      <c r="M6" s="32" t="str">
        <v>未发现異常</v>
      </c>
      <c r="N6" s="32" t="str">
        <f>IF($A6="","",IF(OR($J6="不合格",$K6="高",$K6="重大"),"はい","いいえ"))</f>
        <v>いいえ</v>
      </c>
      <c r="O6" s="36" t="str">
        <f>IF($N6="はい",$B6+'使い方と設定'!$B$14,"")</f>
      </c>
      <c r="P6" s="32" t="s">
        <v>158</v>
      </c>
      <c r="Q6" s="36" t="n">
        <v>46113</v>
      </c>
      <c r="R6" s="32" t="s">
        <v>14</v>
      </c>
      <c r="S6" s="32" t="str">
        <v>PL-2026-04-001</v>
      </c>
      <c r="T6" s="32"/>
      <c r="U6" s="32" t="str">
        <f>IF($A6="","",IF(AND($N6="はい",$P6&lt;&gt;"完了",$O6&lt;TODAY()),"期限超過",IF($N6="はい","追跡中","")))</f>
      </c>
    </row>
    <row r="7" ht="42" customHeight="true">
      <c r="A7" s="32" t="str">
        <v>INSP-002</v>
      </c>
      <c r="B7" s="36" t="n">
        <v>46122</v>
      </c>
      <c r="C7" s="32" t="str">
        <v>EQ-002</v>
      </c>
      <c r="D7" s="32" t="str">
        <f>IF($C7="","",IFERROR(VLOOKUP($C7,'機材台帳'!$A$6:$S$205,2,FALSE),""))</f>
        <v>仮設電気</v>
      </c>
      <c r="E7" s="32" t="str">
        <f>IF($C7="","",IFERROR(VLOOKUP($C7,'機材台帳'!$A$6:$S$205,3,FALSE),""))</f>
        <v>一级配电箱</v>
      </c>
      <c r="F7" s="32" t="str">
        <f>IF($C7="","",IFERROR(VLOOKUP($C7,'機材台帳'!$A$6:$S$205,8,FALSE),""))</f>
        <v>東京第一現場</v>
      </c>
      <c r="G7" s="32" t="s">
        <v>161</v>
      </c>
      <c r="H7" s="32" t="s">
        <v>160</v>
      </c>
      <c r="I7" s="32" t="str">
        <v>漏电保护器、接地、箱门锁</v>
      </c>
      <c r="J7" s="32" t="str">
        <v>不合格</v>
      </c>
      <c r="K7" s="32" t="str">
        <v>高</v>
      </c>
      <c r="L7" s="38" t="n">
        <v>3</v>
      </c>
      <c r="M7" s="32" t="str">
        <v>二级箱箱门锁损坏，接地线标识不清</v>
      </c>
      <c r="N7" s="32" t="str">
        <f>IF($A7="","",IF(OR($J7="不合格",$K7="高",$K7="重大"),"はい","いいえ"))</f>
        <v>はい</v>
      </c>
      <c r="O7" s="36" t="n">
        <f>IF($N7="はい",$B7+'使い方と設定'!$B$14,"")</f>
        <v>46129</v>
      </c>
      <c r="P7" s="32" t="s">
        <v>162</v>
      </c>
      <c r="Q7" s="36"/>
      <c r="R7" s="32" t="s">
        <v>14</v>
      </c>
      <c r="S7" s="32" t="str">
        <v>PL-2026-04-002</v>
      </c>
      <c r="T7" s="32" t="str">
        <v>需临电班组対応</v>
      </c>
      <c r="U7" s="32" t="str">
        <f>IF($A7="","",IF(AND($N7="はい",$P7&lt;&gt;"完了",$O7&lt;TODAY()),"期限超過",IF($N7="はい","追跡中","")))</f>
        <v>期限超過</v>
      </c>
    </row>
    <row r="8" ht="42" customHeight="true">
      <c r="A8" s="32" t="str">
        <v>INSP-003</v>
      </c>
      <c r="B8" s="36" t="n">
        <v>46125</v>
      </c>
      <c r="C8" s="32" t="str">
        <v>EQ-003</v>
      </c>
      <c r="D8" s="32" t="str">
        <f>IF($C8="","",IFERROR(VLOOKUP($C8,'機材台帳'!$A$6:$S$205,2,FALSE),""))</f>
        <v>揚重機</v>
      </c>
      <c r="E8" s="32" t="str">
        <f>IF($C8="","",IFERROR(VLOOKUP($C8,'機材台帳'!$A$6:$S$205,3,FALSE),""))</f>
        <v>工事用エレベーター</v>
      </c>
      <c r="F8" s="32" t="str">
        <f>IF($C8="","",IFERROR(VLOOKUP($C8,'機材台帳'!$A$6:$S$205,8,FALSE),""))</f>
        <v>東京第一現場</v>
      </c>
      <c r="G8" s="32" t="s">
        <v>165</v>
      </c>
      <c r="H8" s="32" t="s">
        <v>164</v>
      </c>
      <c r="I8" s="32" t="str">
        <v>限位器、钢丝绳、制动器</v>
      </c>
      <c r="J8" s="32" t="s">
        <v>71</v>
      </c>
      <c r="K8" s="32" t="str">
        <v>重大</v>
      </c>
      <c r="L8" s="38" t="n">
        <v>4</v>
      </c>
      <c r="M8" s="32" t="str">
        <v>上限位动作不稳定，再検査要</v>
      </c>
      <c r="N8" s="32" t="str">
        <f>IF($A8="","",IF(OR($J8="不合格",$K8="高",$K8="重大"),"はい","いいえ"))</f>
        <v>はい</v>
      </c>
      <c r="O8" s="36" t="n">
        <f>IF($N8="はい",$B8+'使い方と設定'!$B$14,"")</f>
        <v>46132</v>
      </c>
      <c r="P8" s="32" t="s">
        <v>189</v>
      </c>
      <c r="Q8" s="36"/>
      <c r="R8" s="32" t="s">
        <v>14</v>
      </c>
      <c r="S8" s="32" t="str">
        <v>PL-2026-04-003</v>
      </c>
      <c r="T8" s="32" t="str">
        <v>停止使用待复检</v>
      </c>
      <c r="U8" s="32" t="str">
        <f>IF($A8="","",IF(AND($N8="はい",$P8&lt;&gt;"完了",$O8&lt;TODAY()),"期限超過",IF($N8="はい","追跡中","")))</f>
        <v>期限超過</v>
      </c>
    </row>
    <row r="9" ht="42" customHeight="true">
      <c r="A9" s="32" t="str">
        <v>INSP-004</v>
      </c>
      <c r="B9" s="36" t="n">
        <v>46127</v>
      </c>
      <c r="C9" s="32" t="str">
        <v>EQ-004</v>
      </c>
      <c r="D9" s="32" t="str">
        <f>IF($C9="","",IFERROR(VLOOKUP($C9,'機材台帳'!$A$6:$S$205,2,FALSE),""))</f>
        <v>消防セキュリティ</v>
      </c>
      <c r="E9" s="32" t="str">
        <f>IF($C9="","",IFERROR(VLOOKUP($C9,'機材台帳'!$A$6:$S$205,3,FALSE),""))</f>
        <v>消火器箱</v>
      </c>
      <c r="F9" s="32" t="str">
        <f>IF($C9="","",IFERROR(VLOOKUP($C9,'機材台帳'!$A$6:$S$205,8,FALSE),""))</f>
        <v>東京第一現場</v>
      </c>
      <c r="G9" s="32" t="s">
        <v>169</v>
      </c>
      <c r="H9" s="32" t="s">
        <v>168</v>
      </c>
      <c r="I9" s="32" t="str">
        <v>压力表、铅封、有効期、摆放場所</v>
      </c>
      <c r="J9" s="32" t="str">
        <v>合格</v>
      </c>
      <c r="K9" s="32" t="str">
        <v>低</v>
      </c>
      <c r="L9" s="38" t="n">
        <v>1</v>
      </c>
      <c r="M9" s="32" t="str">
        <v>正常</v>
      </c>
      <c r="N9" s="32" t="str">
        <f>IF($A9="","",IF(OR($J9="不合格",$K9="高",$K9="重大"),"はい","いいえ"))</f>
        <v>いいえ</v>
      </c>
      <c r="O9" s="36" t="str">
        <f>IF($N9="はい",$B9+'使い方と設定'!$B$14,"")</f>
      </c>
      <c r="P9" s="32" t="s">
        <v>158</v>
      </c>
      <c r="Q9" s="36" t="n">
        <v>46127</v>
      </c>
      <c r="R9" s="32" t="s">
        <v>14</v>
      </c>
      <c r="S9" s="32" t="str">
        <v>PL-2026-05-001</v>
      </c>
      <c r="T9" s="32"/>
      <c r="U9" s="32" t="str">
        <f>IF($A9="","",IF(AND($N9="はい",$P9&lt;&gt;"完了",$O9&lt;TODAY()),"期限超過",IF($N9="はい","追跡中","")))</f>
      </c>
    </row>
    <row r="10" ht="42" customHeight="true">
      <c r="A10" s="32" t="str">
        <v>INSP-005</v>
      </c>
      <c r="B10" s="36" t="n">
        <v>46129</v>
      </c>
      <c r="C10" s="32" t="str">
        <v>EQ-005</v>
      </c>
      <c r="D10" s="32" t="str">
        <f>IF($C10="","",IFERROR(VLOOKUP($C10,'機材台帳'!$A$6:$S$205,2,FALSE),""))</f>
        <v>土工機械</v>
      </c>
      <c r="E10" s="32" t="str">
        <f>IF($C10="","",IFERROR(VLOOKUP($C10,'機材台帳'!$A$6:$S$205,3,FALSE),""))</f>
        <v>油圧ショベル</v>
      </c>
      <c r="F10" s="32" t="str">
        <f>IF($C10="","",IFERROR(VLOOKUP($C10,'機材台帳'!$A$6:$S$205,8,FALSE),""))</f>
        <v>東京第一現場</v>
      </c>
      <c r="G10" s="32" t="s">
        <v>170</v>
      </c>
      <c r="H10" s="32" t="str">
        <v>每次使用前</v>
      </c>
      <c r="I10" s="32" t="str">
        <v>液压油、履带、回转、警示灯</v>
      </c>
      <c r="J10" s="32" t="str">
        <v>不合格</v>
      </c>
      <c r="K10" s="32" t="str">
        <v>中</v>
      </c>
      <c r="L10" s="38" t="n">
        <v>2</v>
      </c>
      <c r="M10" s="32" t="str">
        <v>警示灯不亮</v>
      </c>
      <c r="N10" s="32" t="str">
        <f>IF($A10="","",IF(OR($J10="不合格",$K10="高",$K10="重大"),"はい","いいえ"))</f>
        <v>はい</v>
      </c>
      <c r="O10" s="36" t="n">
        <f>IF($N10="はい",$B10+'使い方と設定'!$B$14,"")</f>
        <v>46136</v>
      </c>
      <c r="P10" s="32" t="s">
        <v>190</v>
      </c>
      <c r="Q10" s="36"/>
      <c r="R10" s="32" t="s">
        <v>14</v>
      </c>
      <c r="S10" s="32" t="str">
        <v>PL-2026-04-004</v>
      </c>
      <c r="T10" s="32" t="str">
        <v>不影响临停，需当日更换</v>
      </c>
      <c r="U10" s="32" t="str">
        <f>IF($A10="","",IF(AND($N10="はい",$P10&lt;&gt;"完了",$O10&lt;TODAY()),"期限超過",IF($N10="はい","追跡中","")))</f>
        <v>期限超過</v>
      </c>
    </row>
  </sheetData>
  <mergeCells count="2">
    <mergeCell ref="A1:U1"/>
    <mergeCell ref="A2:U2"/>
  </mergeCells>
  <conditionalFormatting sqref="J6:J10">
    <cfRule type="expression" dxfId="0" priority="1">
      <formula>J6="不合格"</formula>
    </cfRule>
    <cfRule type="expression" dxfId="1" priority="2">
      <formula>J6="合格"</formula>
    </cfRule>
  </conditionalFormatting>
  <conditionalFormatting sqref="K6:K10">
    <cfRule type="expression" dxfId="2" priority="3">
      <formula>OR(K6="高",K6="重大")</formula>
    </cfRule>
  </conditionalFormatting>
  <conditionalFormatting sqref="U6:U10">
    <cfRule type="expression" dxfId="3" priority="4">
      <formula>U6="期限超過"</formula>
    </cfRule>
    <cfRule type="expression" dxfId="4" priority="5">
      <formula>U6="追跡中"</formula>
    </cfRule>
  </conditionalFormatting>
  <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</worksheet>
</file>

<file path=xl/worksheets/sheet6.xml><?xml version="1.0" encoding="utf-8"?>
<worksheet xmlns="http://schemas.openxmlformats.org/spreadsheetml/2006/main" xmlns:r="http://schemas.openxmlformats.org/officeDocument/2006/relationships">
  <dimension ref="A1:U9"/>
  <sheetViews>
    <sheetView workbookViewId="0"/>
  </sheetViews>
  <sheetFormatPr defaultRowHeight="15"/>
  <cols>
    <col customWidth="true" max="1" min="1" width="12"/>
    <col customWidth="true" max="2" min="2" width="14"/>
    <col customWidth="true" max="3" min="3" width="12"/>
    <col customWidth="true" max="4" min="4" width="18"/>
    <col customWidth="true" max="5" min="5" width="12"/>
    <col customWidth="true" max="6" min="6" width="36"/>
    <col customWidth="true" max="11" min="7" width="12"/>
    <col customWidth="true" max="12" min="12" width="24"/>
    <col customWidth="true" max="13" min="13" width="26"/>
  </cols>
  <sheetData>
    <row r="1" ht="34" customHeight="true">
      <c r="A1" s="99" t="s">
        <v>191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</row>
    <row r="2" ht="30" customHeight="true">
      <c r="A2" s="101" t="s">
        <v>192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</row>
    <row r="3">
      <c r="A3" s="100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</row>
    <row r="4">
      <c r="A4" s="100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</row>
    <row r="5" ht="28" customHeight="true">
      <c r="A5" s="102" t="s">
        <v>193</v>
      </c>
      <c r="B5" s="102" t="s">
        <v>176</v>
      </c>
      <c r="C5" s="102" t="s">
        <v>97</v>
      </c>
      <c r="D5" s="102" t="s">
        <v>99</v>
      </c>
      <c r="E5" s="102" t="s">
        <v>194</v>
      </c>
      <c r="F5" s="102" t="s">
        <v>195</v>
      </c>
      <c r="G5" s="102" t="str">
        <v>拍摄人</v>
      </c>
      <c r="H5" s="102" t="s">
        <v>196</v>
      </c>
      <c r="I5" s="102" t="s">
        <v>197</v>
      </c>
      <c r="J5" s="102" t="str">
        <v>再確認人</v>
      </c>
      <c r="K5" s="102" t="s">
        <v>198</v>
      </c>
      <c r="L5" s="102" t="s">
        <v>199</v>
      </c>
      <c r="M5" s="102" t="s">
        <v>109</v>
      </c>
      <c r="N5" s="100"/>
      <c r="O5" s="100"/>
      <c r="P5" s="100"/>
      <c r="Q5" s="100"/>
      <c r="R5" s="100"/>
      <c r="S5" s="100"/>
      <c r="T5" s="100"/>
      <c r="U5" s="100"/>
    </row>
    <row r="6" ht="42" customHeight="true">
      <c r="A6" s="32" t="str">
        <v>PH-001</v>
      </c>
      <c r="B6" s="32" t="str">
        <v>INSP-001</v>
      </c>
      <c r="C6" s="32" t="str">
        <v>EQ-001</v>
      </c>
      <c r="D6" s="32" t="str">
        <f>IF($C6="","",IFERROR(VLOOKUP($C6,'機材台帳'!$A$6:$S$205,3,FALSE),""))</f>
        <v>落地式足場</v>
      </c>
      <c r="E6" s="32" t="s">
        <v>200</v>
      </c>
      <c r="F6" s="32" t="str">
        <v>photos/EQ-001/20260401_01.jpg</v>
      </c>
      <c r="G6" s="32" t="s">
        <v>157</v>
      </c>
      <c r="H6" s="36" t="n">
        <v>46113</v>
      </c>
      <c r="I6" s="32" t="s">
        <v>201</v>
      </c>
      <c r="J6" s="32" t="s">
        <v>14</v>
      </c>
      <c r="K6" s="36" t="n">
        <v>46113</v>
      </c>
      <c r="L6" s="32" t="str">
        <v>连墙件</v>
      </c>
      <c r="M6" s="32"/>
      <c r="N6" s="100"/>
      <c r="O6" s="100"/>
      <c r="P6" s="100"/>
      <c r="Q6" s="100"/>
      <c r="R6" s="100"/>
      <c r="S6" s="100"/>
      <c r="T6" s="100"/>
      <c r="U6" s="100"/>
    </row>
    <row r="7" ht="42" customHeight="true">
      <c r="A7" s="32" t="str">
        <v>PH-002</v>
      </c>
      <c r="B7" s="32" t="str">
        <v>INSP-002</v>
      </c>
      <c r="C7" s="32" t="str">
        <v>EQ-002</v>
      </c>
      <c r="D7" s="32" t="str">
        <f>IF($C7="","",IFERROR(VLOOKUP($C7,'機材台帳'!$A$6:$S$205,3,FALSE),""))</f>
        <v>一级配电箱</v>
      </c>
      <c r="E7" s="32" t="str">
        <v>缺陷</v>
      </c>
      <c r="F7" s="32" t="str">
        <v>photos/EQ-002/20260410_lock.jpg</v>
      </c>
      <c r="G7" s="32" t="s">
        <v>161</v>
      </c>
      <c r="H7" s="36" t="n">
        <v>46122</v>
      </c>
      <c r="I7" s="32" t="s">
        <v>71</v>
      </c>
      <c r="J7" s="32" t="s">
        <v>14</v>
      </c>
      <c r="K7" s="36"/>
      <c r="L7" s="32" t="str">
        <v>箱门锁损坏</v>
      </c>
      <c r="M7" s="32" t="s">
        <v>202</v>
      </c>
      <c r="N7" s="100"/>
      <c r="O7" s="100"/>
      <c r="P7" s="100"/>
      <c r="Q7" s="100"/>
      <c r="R7" s="100"/>
      <c r="S7" s="100"/>
      <c r="T7" s="100"/>
      <c r="U7" s="100"/>
    </row>
    <row r="8" ht="42" customHeight="true">
      <c r="A8" s="32" t="str">
        <v>PH-003</v>
      </c>
      <c r="B8" s="32" t="str">
        <v>INSP-003</v>
      </c>
      <c r="C8" s="32" t="str">
        <v>EQ-003</v>
      </c>
      <c r="D8" s="32" t="str">
        <f>IF($C8="","",IFERROR(VLOOKUP($C8,'機材台帳'!$A$6:$S$205,3,FALSE),""))</f>
        <v>工事用エレベーター</v>
      </c>
      <c r="E8" s="32" t="str">
        <v>缺陷</v>
      </c>
      <c r="F8" s="32" t="str">
        <v>photos/EQ-003/20260413_limit.jpg</v>
      </c>
      <c r="G8" s="32" t="s">
        <v>165</v>
      </c>
      <c r="H8" s="36" t="n">
        <v>46125</v>
      </c>
      <c r="I8" s="32" t="str">
        <v>需补充</v>
      </c>
      <c r="J8" s="32" t="s">
        <v>14</v>
      </c>
      <c r="K8" s="36"/>
      <c r="L8" s="32" t="str">
        <v>上限位</v>
      </c>
      <c r="M8" s="32" t="s">
        <v>203</v>
      </c>
      <c r="N8" s="100"/>
      <c r="O8" s="100"/>
      <c r="P8" s="100"/>
      <c r="Q8" s="100"/>
      <c r="R8" s="100"/>
      <c r="S8" s="100"/>
      <c r="T8" s="100"/>
      <c r="U8" s="100"/>
    </row>
    <row r="9" ht="42" customHeight="true">
      <c r="A9" s="32" t="str">
        <v>PH-004</v>
      </c>
      <c r="B9" s="32" t="str">
        <v>INSP-004</v>
      </c>
      <c r="C9" s="32" t="str">
        <v>EQ-004</v>
      </c>
      <c r="D9" s="32" t="str">
        <f>IF($C9="","",IFERROR(VLOOKUP($C9,'機材台帳'!$A$6:$S$205,3,FALSE),""))</f>
        <v>消火器箱</v>
      </c>
      <c r="E9" s="32" t="s">
        <v>204</v>
      </c>
      <c r="F9" s="32" t="str">
        <v>photos/EQ-004/20260415_fire.jpg</v>
      </c>
      <c r="G9" s="32" t="s">
        <v>169</v>
      </c>
      <c r="H9" s="36" t="n">
        <v>46127</v>
      </c>
      <c r="I9" s="32" t="s">
        <v>201</v>
      </c>
      <c r="J9" s="32" t="s">
        <v>14</v>
      </c>
      <c r="K9" s="36" t="n">
        <v>46127</v>
      </c>
      <c r="L9" s="32" t="str">
        <v>压力表</v>
      </c>
      <c r="M9" s="32"/>
      <c r="N9" s="100"/>
      <c r="O9" s="100"/>
      <c r="P9" s="100"/>
      <c r="Q9" s="100"/>
      <c r="R9" s="100"/>
      <c r="S9" s="100"/>
      <c r="T9" s="100"/>
      <c r="U9" s="100"/>
    </row>
  </sheetData>
  <mergeCells count="2">
    <mergeCell ref="A1:M1"/>
    <mergeCell ref="A2:M2"/>
  </mergeCells>
  <conditionalFormatting sqref="I6:I9">
    <cfRule type="expression" dxfId="5" priority="1">
      <formula>I6="需补充"</formula>
    </cfRule>
    <cfRule type="expression" dxfId="6" priority="2">
      <formula>I6="確認待ちちち"</formula>
    </cfRule>
    <cfRule type="expression" dxfId="7" priority="3">
      <formula>I6="承認済み"</formula>
    </cfRule>
  </conditionalFormatting>
  <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</worksheet>
</file>

<file path=xl/worksheets/sheet7.xml><?xml version="1.0" encoding="utf-8"?>
<worksheet xmlns="http://schemas.openxmlformats.org/spreadsheetml/2006/main" xmlns:r="http://schemas.openxmlformats.org/officeDocument/2006/relationships">
  <dimension ref="A1:U8"/>
  <sheetViews>
    <sheetView workbookViewId="0"/>
  </sheetViews>
  <sheetFormatPr defaultRowHeight="15"/>
  <cols>
    <col customWidth="true" max="1" min="1" width="12"/>
    <col customWidth="true" max="2" min="2" width="14"/>
    <col customWidth="true" max="3" min="3" width="12"/>
    <col customWidth="true" max="4" min="4" width="18"/>
    <col customWidth="true" max="5" min="5" width="14"/>
    <col customWidth="true" max="6" min="6" width="34"/>
    <col customWidth="true" max="8" min="7" width="12"/>
    <col customWidth="true" max="9" min="9" width="16"/>
    <col customWidth="true" max="10" min="10" width="12"/>
    <col customWidth="true" max="11" min="11" width="34"/>
    <col customWidth="true" max="12" min="12" width="14"/>
    <col customWidth="true" max="18" min="13" width="12"/>
    <col customWidth="true" max="19" min="19" width="26"/>
  </cols>
  <sheetData>
    <row r="1" ht="34" customHeight="true">
      <c r="A1" s="99" t="s">
        <v>205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</row>
    <row r="2" ht="30" customHeight="true">
      <c r="A2" s="101" t="s">
        <v>206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</row>
    <row r="3">
      <c r="A3" s="100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</row>
    <row r="4">
      <c r="A4" s="100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</row>
    <row r="5" ht="28" customHeight="true">
      <c r="A5" s="102" t="s">
        <v>207</v>
      </c>
      <c r="B5" s="102" t="s">
        <v>176</v>
      </c>
      <c r="C5" s="102" t="s">
        <v>97</v>
      </c>
      <c r="D5" s="102" t="s">
        <v>99</v>
      </c>
      <c r="E5" s="102" t="str">
        <v>缺陷类别</v>
      </c>
      <c r="F5" s="102" t="s">
        <v>181</v>
      </c>
      <c r="G5" s="102" t="s">
        <v>153</v>
      </c>
      <c r="H5" s="102" t="s">
        <v>101</v>
      </c>
      <c r="I5" s="102" t="s">
        <v>150</v>
      </c>
      <c r="J5" s="102" t="s">
        <v>102</v>
      </c>
      <c r="K5" s="102" t="s">
        <v>208</v>
      </c>
      <c r="L5" s="102" t="s">
        <v>209</v>
      </c>
      <c r="M5" s="102" t="s">
        <v>184</v>
      </c>
      <c r="N5" s="102" t="s">
        <v>185</v>
      </c>
      <c r="O5" s="102" t="s">
        <v>210</v>
      </c>
      <c r="P5" s="102" t="s">
        <v>63</v>
      </c>
      <c r="Q5" s="102" t="s">
        <v>188</v>
      </c>
      <c r="R5" s="102" t="s">
        <v>186</v>
      </c>
      <c r="S5" s="102" t="s">
        <v>109</v>
      </c>
      <c r="T5" s="100"/>
      <c r="U5" s="100"/>
    </row>
    <row r="6" ht="42" customHeight="true">
      <c r="A6" s="32" t="str">
        <v>ACT-001</v>
      </c>
      <c r="B6" s="32" t="str">
        <v>INSP-002</v>
      </c>
      <c r="C6" s="32" t="str">
        <v>EQ-002</v>
      </c>
      <c r="D6" s="32" t="str">
        <f>IF($C6="","",IFERROR(VLOOKUP($C6,'機材台帳'!$A$6:$S$205,3,FALSE),""))</f>
        <v>一级配电箱</v>
      </c>
      <c r="E6" s="32" t="str">
        <v>电气</v>
      </c>
      <c r="F6" s="32" t="str">
        <v>二级箱箱门锁损坏，接地标识不清</v>
      </c>
      <c r="G6" s="32" t="str">
        <v>P2-24時間</v>
      </c>
      <c r="H6" s="32" t="s">
        <v>122</v>
      </c>
      <c r="I6" s="32" t="s">
        <v>121</v>
      </c>
      <c r="J6" s="32" t="str">
        <v>临电班组</v>
      </c>
      <c r="K6" s="32" t="str">
        <v>更换箱门锁，补齐接地标识</v>
      </c>
      <c r="L6" s="36" t="n">
        <v>46129</v>
      </c>
      <c r="M6" s="32" t="s">
        <v>162</v>
      </c>
      <c r="N6" s="36"/>
      <c r="O6" s="32" t="s">
        <v>190</v>
      </c>
      <c r="P6" s="46" t="n">
        <v>350</v>
      </c>
      <c r="Q6" s="32" t="str">
        <f>IF($A6="","",IF(AND($M6&lt;&gt;"完了",$M6&lt;&gt;"已关闭",$L6&lt;TODAY()),"期限超過",IF(OR($M6="進行中",$M6="検収待ち",$M6="未着手"),"追跡中","")))</f>
        <v>期限超過</v>
      </c>
      <c r="R6" s="32" t="s">
        <v>14</v>
      </c>
      <c r="S6" s="32" t="s">
        <v>211</v>
      </c>
      <c r="T6" s="100"/>
      <c r="U6" s="100"/>
    </row>
    <row r="7" ht="42" customHeight="true">
      <c r="A7" s="32" t="str">
        <v>ACT-002</v>
      </c>
      <c r="B7" s="32" t="str">
        <v>INSP-003</v>
      </c>
      <c r="C7" s="32" t="str">
        <v>EQ-003</v>
      </c>
      <c r="D7" s="32" t="str">
        <f>IF($C7="","",IFERROR(VLOOKUP($C7,'機材台帳'!$A$6:$S$205,3,FALSE),""))</f>
        <v>工事用エレベーター</v>
      </c>
      <c r="E7" s="32" t="str">
        <v>制动/限位</v>
      </c>
      <c r="F7" s="32" t="str">
        <v>上限位动作不稳定</v>
      </c>
      <c r="G7" s="32" t="str">
        <v>P1-即時</v>
      </c>
      <c r="H7" s="32" t="s">
        <v>128</v>
      </c>
      <c r="I7" s="32" t="s">
        <v>127</v>
      </c>
      <c r="J7" s="32" t="str">
        <v>维保工程师</v>
      </c>
      <c r="K7" s="32" t="s">
        <v>212</v>
      </c>
      <c r="L7" s="36" t="n">
        <v>46126</v>
      </c>
      <c r="M7" s="32" t="s">
        <v>189</v>
      </c>
      <c r="N7" s="36"/>
      <c r="O7" s="32" t="s">
        <v>190</v>
      </c>
      <c r="P7" s="46" t="n">
        <v>0</v>
      </c>
      <c r="Q7" s="32" t="str">
        <f>IF($A7="","",IF(AND($M7&lt;&gt;"完了",$M7&lt;&gt;"已关闭",$L7&lt;TODAY()),"期限超過",IF(OR($M7="進行中",$M7="検収待ち",$M7="未着手"),"追跡中","")))</f>
        <v>期限超過</v>
      </c>
      <c r="R7" s="32" t="s">
        <v>14</v>
      </c>
      <c r="S7" s="32" t="s">
        <v>213</v>
      </c>
      <c r="T7" s="100"/>
      <c r="U7" s="100"/>
    </row>
    <row r="8" ht="42" customHeight="true">
      <c r="A8" s="32" t="str">
        <v>ACT-003</v>
      </c>
      <c r="B8" s="32" t="str">
        <v>INSP-005</v>
      </c>
      <c r="C8" s="32" t="str">
        <v>EQ-005</v>
      </c>
      <c r="D8" s="32" t="str">
        <f>IF($C8="","",IFERROR(VLOOKUP($C8,'機材台帳'!$A$6:$S$205,3,FALSE),""))</f>
        <v>油圧ショベル</v>
      </c>
      <c r="E8" s="32" t="str">
        <v>警示标识</v>
      </c>
      <c r="F8" s="32" t="str">
        <v>警示灯不亮</v>
      </c>
      <c r="G8" s="32" t="str">
        <v>P3-3天</v>
      </c>
      <c r="H8" s="32" t="s">
        <v>128</v>
      </c>
      <c r="I8" s="32" t="s">
        <v>136</v>
      </c>
      <c r="J8" s="32" t="str">
        <v>机管员</v>
      </c>
      <c r="K8" s="32" t="str">
        <v>更换警示灯并確認线路</v>
      </c>
      <c r="L8" s="36" t="n">
        <v>46132</v>
      </c>
      <c r="M8" s="32" t="s">
        <v>190</v>
      </c>
      <c r="N8" s="36"/>
      <c r="O8" s="32" t="s">
        <v>190</v>
      </c>
      <c r="P8" s="46" t="n">
        <v>120</v>
      </c>
      <c r="Q8" s="32" t="str">
        <f>IF($A8="","",IF(AND($M8&lt;&gt;"完了",$M8&lt;&gt;"已关闭",$L8&lt;TODAY()),"期限超過",IF(OR($M8="進行中",$M8="検収待ち",$M8="未着手"),"追跡中","")))</f>
        <v>期限超過</v>
      </c>
      <c r="R8" s="32" t="s">
        <v>14</v>
      </c>
      <c r="S8" s="32"/>
      <c r="T8" s="100"/>
      <c r="U8" s="100"/>
    </row>
  </sheetData>
  <mergeCells count="2">
    <mergeCell ref="A1:Q1"/>
    <mergeCell ref="A2:Q2"/>
  </mergeCells>
  <conditionalFormatting sqref="Q6:Q8">
    <cfRule type="expression" dxfId="8" priority="1">
      <formula>Q6="期限超過"</formula>
    </cfRule>
    <cfRule type="expression" dxfId="9" priority="2">
      <formula>Q6="追跡中"</formula>
    </cfRule>
  </conditionalFormatting>
  <conditionalFormatting sqref="O6:O8">
    <cfRule type="expression" dxfId="10" priority="3">
      <formula>O6="承認済み"</formula>
    </cfRule>
  </conditionalFormatting>
  <conditionalFormatting sqref="G6:G8">
    <cfRule type="expression" dxfId="11" priority="4">
      <formula>G6="P1-即時"</formula>
    </cfRule>
  </conditionalFormatting>
  <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</worksheet>
</file>

<file path=xl/worksheets/sheet8.xml><?xml version="1.0" encoding="utf-8"?>
<worksheet xmlns="http://schemas.openxmlformats.org/spreadsheetml/2006/main" xmlns:r="http://schemas.openxmlformats.org/officeDocument/2006/relationships">
  <dimension ref="A1:U18"/>
  <sheetViews>
    <sheetView workbookViewId="0"/>
  </sheetViews>
  <sheetFormatPr defaultRowHeight="15"/>
  <cols>
    <col customWidth="true" max="10" min="1" width="14"/>
    <col customWidth="true" max="11" min="11" width="26"/>
  </cols>
  <sheetData>
    <row r="1" ht="24" customHeight="true">
      <c r="A1" s="99" t="s">
        <v>214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</row>
    <row r="2" ht="24" customHeight="true">
      <c r="A2" s="101" t="s">
        <v>215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</row>
    <row r="3" ht="24" customHeight="true">
      <c r="A3" s="100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</row>
    <row r="4" ht="24" customHeight="true">
      <c r="A4" s="102" t="str">
        <v>统计年份</v>
      </c>
      <c r="B4" s="133" t="n">
        <v>2026</v>
      </c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</row>
    <row r="5" ht="24" customHeight="true">
      <c r="A5" s="100"/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  <c r="N5" s="100"/>
      <c r="O5" s="100"/>
      <c r="P5" s="100"/>
      <c r="Q5" s="100"/>
      <c r="R5" s="100"/>
      <c r="S5" s="100"/>
      <c r="T5" s="100"/>
      <c r="U5" s="100"/>
    </row>
    <row r="6" ht="24" customHeight="true">
      <c r="A6" s="102" t="str">
        <v>月份</v>
      </c>
      <c r="B6" s="102" t="s">
        <v>216</v>
      </c>
      <c r="C6" s="102" t="str">
        <v>合格</v>
      </c>
      <c r="D6" s="102" t="str">
        <v>不合格</v>
      </c>
      <c r="E6" s="102" t="s">
        <v>71</v>
      </c>
      <c r="F6" s="102" t="str">
        <v>合格率</v>
      </c>
      <c r="G6" s="102" t="s">
        <v>217</v>
      </c>
      <c r="H6" s="102" t="s">
        <v>218</v>
      </c>
      <c r="I6" s="102" t="s">
        <v>219</v>
      </c>
      <c r="J6" s="102" t="s">
        <v>63</v>
      </c>
      <c r="K6" s="102" t="s">
        <v>109</v>
      </c>
      <c r="L6" s="100"/>
      <c r="M6" s="100"/>
      <c r="N6" s="100"/>
      <c r="O6" s="100"/>
      <c r="P6" s="100"/>
      <c r="Q6" s="100"/>
      <c r="R6" s="100"/>
      <c r="S6" s="100"/>
      <c r="T6" s="100"/>
      <c r="U6" s="100"/>
    </row>
    <row r="7" ht="24" customHeight="true">
      <c r="A7" s="32" t="n">
        <v>1</v>
      </c>
      <c r="B7" s="32" t="n">
        <f>COUNTIFS('点検記録'!$B$6:$B$205,"&gt;="&amp;DATE($B$4,$A7,1),'点検記録'!$B$6:$B$205,"&lt;"&amp;EDATE(DATE($B$4,$A7,1),1))</f>
        <v>0</v>
      </c>
      <c r="C7" s="32" t="n">
        <f>COUNTIFS('点検記録'!$B$6:$B$205,"&gt;="&amp;DATE($B$4,$A7,1),'点検記録'!$B$6:$B$205,"&lt;"&amp;EDATE(DATE($B$4,$A7,1),1),'点検記録'!$J$6:$J$205,"合格")</f>
        <v>0</v>
      </c>
      <c r="D7" s="32" t="n">
        <f>COUNTIFS('点検記録'!$B$6:$B$205,"&gt;="&amp;DATE($B$4,$A7,1),'点検記録'!$B$6:$B$205,"&lt;"&amp;EDATE(DATE($B$4,$A7,1),1),'点検記録'!$J$6:$J$205,"不合格")</f>
        <v>0</v>
      </c>
      <c r="E7" s="32" t="n">
        <f>COUNTIFS('点検記録'!$B$6:$B$205,"&gt;="&amp;DATE($B$4,$A7,1),'点検記録'!$B$6:$B$205,"&lt;"&amp;EDATE(DATE($B$4,$A7,1),1),'点検記録'!$J$6:$J$205,"確認待ちちち")</f>
        <v>0</v>
      </c>
      <c r="F7" s="54" t="n">
        <f>IFERROR(C7/(C7+D7+E7),0)</f>
        <v>0</v>
      </c>
      <c r="G7" s="32" t="n">
        <f>COUNTIFS('点検記録'!$B$6:$B$205,"&gt;="&amp;DATE($B$4,$A7,1),'点検記録'!$B$6:$B$205,"&lt;"&amp;EDATE(DATE($B$4,$A7,1),1),'点検記録'!$N$6:$N$205,"はい")</f>
        <v>0</v>
      </c>
      <c r="H7" s="32" t="n">
        <f>COUNTIFS('改善・修理'!$L$6:$L$205,"&gt;="&amp;DATE($B$4,$A7,1),'改善・修理'!$L$6:$L$205,"&lt;"&amp;EDATE(DATE($B$4,$A7,1),1),'改善・修理'!$Q$6:$Q$205,"期限超過")</f>
        <v>0</v>
      </c>
      <c r="I7" s="32" t="n">
        <f>COUNTIFS('写真台帳'!$H$6:$H$205,"&gt;="&amp;DATE($B$4,$A7,1),'写真台帳'!$H$6:$H$205,"&lt;"&amp;EDATE(DATE($B$4,$A7,1),1),'写真台帳'!$I$6:$I$205,"確認待ちちち")+COUNTIFS('写真台帳'!$H$6:$H$205,"&gt;="&amp;DATE($B$4,$A7,1),'写真台帳'!$H$6:$H$205,"&lt;"&amp;EDATE(DATE($B$4,$A7,1),1),'写真台帳'!$I$6:$I$205,"需补充")</f>
        <v>0</v>
      </c>
      <c r="J7" s="46" t="n">
        <f>SUMIFS('改善・修理'!$P$6:$P$205,'改善・修理'!$L$6:$L$205,"&gt;="&amp;DATE($B$4,$A7,1),'改善・修理'!$L$6:$L$205,"&lt;"&amp;EDATE(DATE($B$4,$A7,1),1))</f>
        <v>0</v>
      </c>
      <c r="K7" s="32"/>
      <c r="L7" s="100"/>
      <c r="M7" s="100"/>
      <c r="N7" s="100"/>
      <c r="O7" s="100"/>
      <c r="P7" s="100"/>
      <c r="Q7" s="100"/>
      <c r="R7" s="100"/>
      <c r="S7" s="100"/>
      <c r="T7" s="100"/>
      <c r="U7" s="100"/>
    </row>
    <row r="8" ht="24" customHeight="true">
      <c r="A8" s="32" t="n">
        <v>2</v>
      </c>
      <c r="B8" s="32" t="n">
        <f>COUNTIFS('点検記録'!$B$6:$B$205,"&gt;="&amp;DATE($B$4,$A8,1),'点検記録'!$B$6:$B$205,"&lt;"&amp;EDATE(DATE($B$4,$A8,1),1))</f>
        <v>0</v>
      </c>
      <c r="C8" s="32" t="n">
        <f>COUNTIFS('点検記録'!$B$6:$B$205,"&gt;="&amp;DATE($B$4,$A8,1),'点検記録'!$B$6:$B$205,"&lt;"&amp;EDATE(DATE($B$4,$A8,1),1),'点検記録'!$J$6:$J$205,"合格")</f>
        <v>0</v>
      </c>
      <c r="D8" s="32" t="n">
        <f>COUNTIFS('点検記録'!$B$6:$B$205,"&gt;="&amp;DATE($B$4,$A8,1),'点検記録'!$B$6:$B$205,"&lt;"&amp;EDATE(DATE($B$4,$A8,1),1),'点検記録'!$J$6:$J$205,"不合格")</f>
        <v>0</v>
      </c>
      <c r="E8" s="32" t="n">
        <f>COUNTIFS('点検記録'!$B$6:$B$205,"&gt;="&amp;DATE($B$4,$A8,1),'点検記録'!$B$6:$B$205,"&lt;"&amp;EDATE(DATE($B$4,$A8,1),1),'点検記録'!$J$6:$J$205,"確認待ちちち")</f>
        <v>0</v>
      </c>
      <c r="F8" s="54" t="n">
        <f>IFERROR(C8/(C8+D8+E8),0)</f>
        <v>0</v>
      </c>
      <c r="G8" s="32" t="n">
        <f>COUNTIFS('点検記録'!$B$6:$B$205,"&gt;="&amp;DATE($B$4,$A8,1),'点検記録'!$B$6:$B$205,"&lt;"&amp;EDATE(DATE($B$4,$A8,1),1),'点検記録'!$N$6:$N$205,"はい")</f>
        <v>0</v>
      </c>
      <c r="H8" s="32" t="n">
        <f>COUNTIFS('改善・修理'!$L$6:$L$205,"&gt;="&amp;DATE($B$4,$A8,1),'改善・修理'!$L$6:$L$205,"&lt;"&amp;EDATE(DATE($B$4,$A8,1),1),'改善・修理'!$Q$6:$Q$205,"期限超過")</f>
        <v>0</v>
      </c>
      <c r="I8" s="32" t="n">
        <f>COUNTIFS('写真台帳'!$H$6:$H$205,"&gt;="&amp;DATE($B$4,$A8,1),'写真台帳'!$H$6:$H$205,"&lt;"&amp;EDATE(DATE($B$4,$A8,1),1),'写真台帳'!$I$6:$I$205,"確認待ちちち")+COUNTIFS('写真台帳'!$H$6:$H$205,"&gt;="&amp;DATE($B$4,$A8,1),'写真台帳'!$H$6:$H$205,"&lt;"&amp;EDATE(DATE($B$4,$A8,1),1),'写真台帳'!$I$6:$I$205,"需补充")</f>
        <v>0</v>
      </c>
      <c r="J8" s="46" t="n">
        <f>SUMIFS('改善・修理'!$P$6:$P$205,'改善・修理'!$L$6:$L$205,"&gt;="&amp;DATE($B$4,$A8,1),'改善・修理'!$L$6:$L$205,"&lt;"&amp;EDATE(DATE($B$4,$A8,1),1))</f>
        <v>0</v>
      </c>
      <c r="K8" s="32"/>
      <c r="L8" s="100"/>
      <c r="M8" s="100"/>
      <c r="N8" s="100"/>
      <c r="O8" s="100"/>
      <c r="P8" s="100"/>
      <c r="Q8" s="100"/>
      <c r="R8" s="100"/>
      <c r="S8" s="100"/>
      <c r="T8" s="100"/>
      <c r="U8" s="100"/>
    </row>
    <row r="9" ht="24" customHeight="true">
      <c r="A9" s="32" t="n">
        <v>3</v>
      </c>
      <c r="B9" s="32" t="n">
        <f>COUNTIFS('点検記録'!$B$6:$B$205,"&gt;="&amp;DATE($B$4,$A9,1),'点検記録'!$B$6:$B$205,"&lt;"&amp;EDATE(DATE($B$4,$A9,1),1))</f>
        <v>0</v>
      </c>
      <c r="C9" s="32" t="n">
        <f>COUNTIFS('点検記録'!$B$6:$B$205,"&gt;="&amp;DATE($B$4,$A9,1),'点検記録'!$B$6:$B$205,"&lt;"&amp;EDATE(DATE($B$4,$A9,1),1),'点検記録'!$J$6:$J$205,"合格")</f>
        <v>0</v>
      </c>
      <c r="D9" s="32" t="n">
        <f>COUNTIFS('点検記録'!$B$6:$B$205,"&gt;="&amp;DATE($B$4,$A9,1),'点検記録'!$B$6:$B$205,"&lt;"&amp;EDATE(DATE($B$4,$A9,1),1),'点検記録'!$J$6:$J$205,"不合格")</f>
        <v>0</v>
      </c>
      <c r="E9" s="32" t="n">
        <f>COUNTIFS('点検記録'!$B$6:$B$205,"&gt;="&amp;DATE($B$4,$A9,1),'点検記録'!$B$6:$B$205,"&lt;"&amp;EDATE(DATE($B$4,$A9,1),1),'点検記録'!$J$6:$J$205,"確認待ちちち")</f>
        <v>0</v>
      </c>
      <c r="F9" s="54" t="n">
        <f>IFERROR(C9/(C9+D9+E9),0)</f>
        <v>0</v>
      </c>
      <c r="G9" s="32" t="n">
        <f>COUNTIFS('点検記録'!$B$6:$B$205,"&gt;="&amp;DATE($B$4,$A9,1),'点検記録'!$B$6:$B$205,"&lt;"&amp;EDATE(DATE($B$4,$A9,1),1),'点検記録'!$N$6:$N$205,"はい")</f>
        <v>0</v>
      </c>
      <c r="H9" s="32" t="n">
        <f>COUNTIFS('改善・修理'!$L$6:$L$205,"&gt;="&amp;DATE($B$4,$A9,1),'改善・修理'!$L$6:$L$205,"&lt;"&amp;EDATE(DATE($B$4,$A9,1),1),'改善・修理'!$Q$6:$Q$205,"期限超過")</f>
        <v>0</v>
      </c>
      <c r="I9" s="32" t="n">
        <f>COUNTIFS('写真台帳'!$H$6:$H$205,"&gt;="&amp;DATE($B$4,$A9,1),'写真台帳'!$H$6:$H$205,"&lt;"&amp;EDATE(DATE($B$4,$A9,1),1),'写真台帳'!$I$6:$I$205,"確認待ちちち")+COUNTIFS('写真台帳'!$H$6:$H$205,"&gt;="&amp;DATE($B$4,$A9,1),'写真台帳'!$H$6:$H$205,"&lt;"&amp;EDATE(DATE($B$4,$A9,1),1),'写真台帳'!$I$6:$I$205,"需补充")</f>
        <v>0</v>
      </c>
      <c r="J9" s="46" t="n">
        <f>SUMIFS('改善・修理'!$P$6:$P$205,'改善・修理'!$L$6:$L$205,"&gt;="&amp;DATE($B$4,$A9,1),'改善・修理'!$L$6:$L$205,"&lt;"&amp;EDATE(DATE($B$4,$A9,1),1))</f>
        <v>0</v>
      </c>
      <c r="K9" s="32"/>
      <c r="L9" s="100"/>
      <c r="M9" s="100"/>
      <c r="N9" s="100"/>
      <c r="O9" s="100"/>
      <c r="P9" s="100"/>
      <c r="Q9" s="100"/>
      <c r="R9" s="100"/>
      <c r="S9" s="100"/>
      <c r="T9" s="100"/>
      <c r="U9" s="100"/>
    </row>
    <row r="10" ht="24" customHeight="true">
      <c r="A10" s="32" t="n">
        <v>4</v>
      </c>
      <c r="B10" s="32" t="n">
        <f>COUNTIFS('点検記録'!$B$6:$B$205,"&gt;="&amp;DATE($B$4,$A10,1),'点検記録'!$B$6:$B$205,"&lt;"&amp;EDATE(DATE($B$4,$A10,1),1))</f>
        <v>5</v>
      </c>
      <c r="C10" s="32" t="n">
        <f>COUNTIFS('点検記録'!$B$6:$B$205,"&gt;="&amp;DATE($B$4,$A10,1),'点検記録'!$B$6:$B$205,"&lt;"&amp;EDATE(DATE($B$4,$A10,1),1),'点検記録'!$J$6:$J$205,"合格")</f>
        <v>2</v>
      </c>
      <c r="D10" s="32" t="n">
        <f>COUNTIFS('点検記録'!$B$6:$B$205,"&gt;="&amp;DATE($B$4,$A10,1),'点検記録'!$B$6:$B$205,"&lt;"&amp;EDATE(DATE($B$4,$A10,1),1),'点検記録'!$J$6:$J$205,"不合格")</f>
        <v>2</v>
      </c>
      <c r="E10" s="32" t="n">
        <f>COUNTIFS('点検記録'!$B$6:$B$205,"&gt;="&amp;DATE($B$4,$A10,1),'点検記録'!$B$6:$B$205,"&lt;"&amp;EDATE(DATE($B$4,$A10,1),1),'点検記録'!$J$6:$J$205,"確認待ちちち")</f>
        <v>1</v>
      </c>
      <c r="F10" s="54" t="n">
        <f>IFERROR(C10/(C10+D10+E10),0)</f>
        <v>0.4</v>
      </c>
      <c r="G10" s="32" t="n">
        <f>COUNTIFS('点検記録'!$B$6:$B$205,"&gt;="&amp;DATE($B$4,$A10,1),'点検記録'!$B$6:$B$205,"&lt;"&amp;EDATE(DATE($B$4,$A10,1),1),'点検記録'!$N$6:$N$205,"はい")</f>
        <v>3</v>
      </c>
      <c r="H10" s="32" t="n">
        <f>COUNTIFS('改善・修理'!$L$6:$L$205,"&gt;="&amp;DATE($B$4,$A10,1),'改善・修理'!$L$6:$L$205,"&lt;"&amp;EDATE(DATE($B$4,$A10,1),1),'改善・修理'!$Q$6:$Q$205,"期限超過")</f>
        <v>3</v>
      </c>
      <c r="I10" s="32" t="n">
        <f>COUNTIFS('写真台帳'!$H$6:$H$205,"&gt;="&amp;DATE($B$4,$A10,1),'写真台帳'!$H$6:$H$205,"&lt;"&amp;EDATE(DATE($B$4,$A10,1),1),'写真台帳'!$I$6:$I$205,"確認待ちちち")+COUNTIFS('写真台帳'!$H$6:$H$205,"&gt;="&amp;DATE($B$4,$A10,1),'写真台帳'!$H$6:$H$205,"&lt;"&amp;EDATE(DATE($B$4,$A10,1),1),'写真台帳'!$I$6:$I$205,"需补充")</f>
        <v>2</v>
      </c>
      <c r="J10" s="46" t="n">
        <f>SUMIFS('改善・修理'!$P$6:$P$205,'改善・修理'!$L$6:$L$205,"&gt;="&amp;DATE($B$4,$A10,1),'改善・修理'!$L$6:$L$205,"&lt;"&amp;EDATE(DATE($B$4,$A10,1),1))</f>
        <v>470</v>
      </c>
      <c r="K10" s="32"/>
      <c r="L10" s="100"/>
      <c r="M10" s="100"/>
      <c r="N10" s="100"/>
      <c r="O10" s="100"/>
      <c r="P10" s="100"/>
      <c r="Q10" s="100"/>
      <c r="R10" s="100"/>
      <c r="S10" s="100"/>
      <c r="T10" s="100"/>
      <c r="U10" s="100"/>
    </row>
    <row r="11" ht="24" customHeight="true">
      <c r="A11" s="32" t="n">
        <v>5</v>
      </c>
      <c r="B11" s="32" t="n">
        <f>COUNTIFS('点検記録'!$B$6:$B$205,"&gt;="&amp;DATE($B$4,$A11,1),'点検記録'!$B$6:$B$205,"&lt;"&amp;EDATE(DATE($B$4,$A11,1),1))</f>
        <v>0</v>
      </c>
      <c r="C11" s="32" t="n">
        <f>COUNTIFS('点検記録'!$B$6:$B$205,"&gt;="&amp;DATE($B$4,$A11,1),'点検記録'!$B$6:$B$205,"&lt;"&amp;EDATE(DATE($B$4,$A11,1),1),'点検記録'!$J$6:$J$205,"合格")</f>
        <v>0</v>
      </c>
      <c r="D11" s="32" t="n">
        <f>COUNTIFS('点検記録'!$B$6:$B$205,"&gt;="&amp;DATE($B$4,$A11,1),'点検記録'!$B$6:$B$205,"&lt;"&amp;EDATE(DATE($B$4,$A11,1),1),'点検記録'!$J$6:$J$205,"不合格")</f>
        <v>0</v>
      </c>
      <c r="E11" s="32" t="n">
        <f>COUNTIFS('点検記録'!$B$6:$B$205,"&gt;="&amp;DATE($B$4,$A11,1),'点検記録'!$B$6:$B$205,"&lt;"&amp;EDATE(DATE($B$4,$A11,1),1),'点検記録'!$J$6:$J$205,"確認待ちちち")</f>
        <v>0</v>
      </c>
      <c r="F11" s="54" t="n">
        <f>IFERROR(C11/(C11+D11+E11),0)</f>
        <v>0</v>
      </c>
      <c r="G11" s="32" t="n">
        <f>COUNTIFS('点検記録'!$B$6:$B$205,"&gt;="&amp;DATE($B$4,$A11,1),'点検記録'!$B$6:$B$205,"&lt;"&amp;EDATE(DATE($B$4,$A11,1),1),'点検記録'!$N$6:$N$205,"はい")</f>
        <v>0</v>
      </c>
      <c r="H11" s="32" t="n">
        <f>COUNTIFS('改善・修理'!$L$6:$L$205,"&gt;="&amp;DATE($B$4,$A11,1),'改善・修理'!$L$6:$L$205,"&lt;"&amp;EDATE(DATE($B$4,$A11,1),1),'改善・修理'!$Q$6:$Q$205,"期限超過")</f>
        <v>0</v>
      </c>
      <c r="I11" s="32" t="n">
        <f>COUNTIFS('写真台帳'!$H$6:$H$205,"&gt;="&amp;DATE($B$4,$A11,1),'写真台帳'!$H$6:$H$205,"&lt;"&amp;EDATE(DATE($B$4,$A11,1),1),'写真台帳'!$I$6:$I$205,"確認待ちちち")+COUNTIFS('写真台帳'!$H$6:$H$205,"&gt;="&amp;DATE($B$4,$A11,1),'写真台帳'!$H$6:$H$205,"&lt;"&amp;EDATE(DATE($B$4,$A11,1),1),'写真台帳'!$I$6:$I$205,"需补充")</f>
        <v>0</v>
      </c>
      <c r="J11" s="46" t="n">
        <f>SUMIFS('改善・修理'!$P$6:$P$205,'改善・修理'!$L$6:$L$205,"&gt;="&amp;DATE($B$4,$A11,1),'改善・修理'!$L$6:$L$205,"&lt;"&amp;EDATE(DATE($B$4,$A11,1),1))</f>
        <v>0</v>
      </c>
      <c r="K11" s="32"/>
      <c r="L11" s="100"/>
      <c r="M11" s="100"/>
      <c r="N11" s="100"/>
      <c r="O11" s="100"/>
      <c r="P11" s="100"/>
      <c r="Q11" s="100"/>
      <c r="R11" s="100"/>
      <c r="S11" s="100"/>
      <c r="T11" s="100"/>
      <c r="U11" s="100"/>
    </row>
    <row r="12" ht="24" customHeight="true">
      <c r="A12" s="32" t="n">
        <v>6</v>
      </c>
      <c r="B12" s="32" t="n">
        <f>COUNTIFS('点検記録'!$B$6:$B$205,"&gt;="&amp;DATE($B$4,$A12,1),'点検記録'!$B$6:$B$205,"&lt;"&amp;EDATE(DATE($B$4,$A12,1),1))</f>
        <v>0</v>
      </c>
      <c r="C12" s="32" t="n">
        <f>COUNTIFS('点検記録'!$B$6:$B$205,"&gt;="&amp;DATE($B$4,$A12,1),'点検記録'!$B$6:$B$205,"&lt;"&amp;EDATE(DATE($B$4,$A12,1),1),'点検記録'!$J$6:$J$205,"合格")</f>
        <v>0</v>
      </c>
      <c r="D12" s="32" t="n">
        <f>COUNTIFS('点検記録'!$B$6:$B$205,"&gt;="&amp;DATE($B$4,$A12,1),'点検記録'!$B$6:$B$205,"&lt;"&amp;EDATE(DATE($B$4,$A12,1),1),'点検記録'!$J$6:$J$205,"不合格")</f>
        <v>0</v>
      </c>
      <c r="E12" s="32" t="n">
        <f>COUNTIFS('点検記録'!$B$6:$B$205,"&gt;="&amp;DATE($B$4,$A12,1),'点検記録'!$B$6:$B$205,"&lt;"&amp;EDATE(DATE($B$4,$A12,1),1),'点検記録'!$J$6:$J$205,"確認待ちちち")</f>
        <v>0</v>
      </c>
      <c r="F12" s="54" t="n">
        <f>IFERROR(C12/(C12+D12+E12),0)</f>
        <v>0</v>
      </c>
      <c r="G12" s="32" t="n">
        <f>COUNTIFS('点検記録'!$B$6:$B$205,"&gt;="&amp;DATE($B$4,$A12,1),'点検記録'!$B$6:$B$205,"&lt;"&amp;EDATE(DATE($B$4,$A12,1),1),'点検記録'!$N$6:$N$205,"はい")</f>
        <v>0</v>
      </c>
      <c r="H12" s="32" t="n">
        <f>COUNTIFS('改善・修理'!$L$6:$L$205,"&gt;="&amp;DATE($B$4,$A12,1),'改善・修理'!$L$6:$L$205,"&lt;"&amp;EDATE(DATE($B$4,$A12,1),1),'改善・修理'!$Q$6:$Q$205,"期限超過")</f>
        <v>0</v>
      </c>
      <c r="I12" s="32" t="n">
        <f>COUNTIFS('写真台帳'!$H$6:$H$205,"&gt;="&amp;DATE($B$4,$A12,1),'写真台帳'!$H$6:$H$205,"&lt;"&amp;EDATE(DATE($B$4,$A12,1),1),'写真台帳'!$I$6:$I$205,"確認待ちちち")+COUNTIFS('写真台帳'!$H$6:$H$205,"&gt;="&amp;DATE($B$4,$A12,1),'写真台帳'!$H$6:$H$205,"&lt;"&amp;EDATE(DATE($B$4,$A12,1),1),'写真台帳'!$I$6:$I$205,"需补充")</f>
        <v>0</v>
      </c>
      <c r="J12" s="46" t="n">
        <f>SUMIFS('改善・修理'!$P$6:$P$205,'改善・修理'!$L$6:$L$205,"&gt;="&amp;DATE($B$4,$A12,1),'改善・修理'!$L$6:$L$205,"&lt;"&amp;EDATE(DATE($B$4,$A12,1),1))</f>
        <v>0</v>
      </c>
      <c r="K12" s="32"/>
      <c r="L12" s="100"/>
      <c r="M12" s="100"/>
      <c r="N12" s="100"/>
      <c r="O12" s="100"/>
      <c r="P12" s="100"/>
      <c r="Q12" s="100"/>
      <c r="R12" s="100"/>
      <c r="S12" s="100"/>
      <c r="T12" s="100"/>
      <c r="U12" s="100"/>
    </row>
    <row r="13" ht="24" customHeight="true">
      <c r="A13" s="32" t="n">
        <v>7</v>
      </c>
      <c r="B13" s="32" t="n">
        <f>COUNTIFS('点検記録'!$B$6:$B$205,"&gt;="&amp;DATE($B$4,$A13,1),'点検記録'!$B$6:$B$205,"&lt;"&amp;EDATE(DATE($B$4,$A13,1),1))</f>
        <v>0</v>
      </c>
      <c r="C13" s="32" t="n">
        <f>COUNTIFS('点検記録'!$B$6:$B$205,"&gt;="&amp;DATE($B$4,$A13,1),'点検記録'!$B$6:$B$205,"&lt;"&amp;EDATE(DATE($B$4,$A13,1),1),'点検記録'!$J$6:$J$205,"合格")</f>
        <v>0</v>
      </c>
      <c r="D13" s="32" t="n">
        <f>COUNTIFS('点検記録'!$B$6:$B$205,"&gt;="&amp;DATE($B$4,$A13,1),'点検記録'!$B$6:$B$205,"&lt;"&amp;EDATE(DATE($B$4,$A13,1),1),'点検記録'!$J$6:$J$205,"不合格")</f>
        <v>0</v>
      </c>
      <c r="E13" s="32" t="n">
        <f>COUNTIFS('点検記録'!$B$6:$B$205,"&gt;="&amp;DATE($B$4,$A13,1),'点検記録'!$B$6:$B$205,"&lt;"&amp;EDATE(DATE($B$4,$A13,1),1),'点検記録'!$J$6:$J$205,"確認待ちちち")</f>
        <v>0</v>
      </c>
      <c r="F13" s="54" t="n">
        <f>IFERROR(C13/(C13+D13+E13),0)</f>
        <v>0</v>
      </c>
      <c r="G13" s="32" t="n">
        <f>COUNTIFS('点検記録'!$B$6:$B$205,"&gt;="&amp;DATE($B$4,$A13,1),'点検記録'!$B$6:$B$205,"&lt;"&amp;EDATE(DATE($B$4,$A13,1),1),'点検記録'!$N$6:$N$205,"はい")</f>
        <v>0</v>
      </c>
      <c r="H13" s="32" t="n">
        <f>COUNTIFS('改善・修理'!$L$6:$L$205,"&gt;="&amp;DATE($B$4,$A13,1),'改善・修理'!$L$6:$L$205,"&lt;"&amp;EDATE(DATE($B$4,$A13,1),1),'改善・修理'!$Q$6:$Q$205,"期限超過")</f>
        <v>0</v>
      </c>
      <c r="I13" s="32" t="n">
        <f>COUNTIFS('写真台帳'!$H$6:$H$205,"&gt;="&amp;DATE($B$4,$A13,1),'写真台帳'!$H$6:$H$205,"&lt;"&amp;EDATE(DATE($B$4,$A13,1),1),'写真台帳'!$I$6:$I$205,"確認待ちちち")+COUNTIFS('写真台帳'!$H$6:$H$205,"&gt;="&amp;DATE($B$4,$A13,1),'写真台帳'!$H$6:$H$205,"&lt;"&amp;EDATE(DATE($B$4,$A13,1),1),'写真台帳'!$I$6:$I$205,"需补充")</f>
        <v>0</v>
      </c>
      <c r="J13" s="46" t="n">
        <f>SUMIFS('改善・修理'!$P$6:$P$205,'改善・修理'!$L$6:$L$205,"&gt;="&amp;DATE($B$4,$A13,1),'改善・修理'!$L$6:$L$205,"&lt;"&amp;EDATE(DATE($B$4,$A13,1),1))</f>
        <v>0</v>
      </c>
      <c r="K13" s="32"/>
      <c r="L13" s="100"/>
      <c r="M13" s="100"/>
      <c r="N13" s="100"/>
      <c r="O13" s="100"/>
      <c r="P13" s="100"/>
      <c r="Q13" s="100"/>
      <c r="R13" s="100"/>
      <c r="S13" s="100"/>
      <c r="T13" s="100"/>
      <c r="U13" s="100"/>
    </row>
    <row r="14" ht="24" customHeight="true">
      <c r="A14" s="32" t="n">
        <v>8</v>
      </c>
      <c r="B14" s="32" t="n">
        <f>COUNTIFS('点検記録'!$B$6:$B$205,"&gt;="&amp;DATE($B$4,$A14,1),'点検記録'!$B$6:$B$205,"&lt;"&amp;EDATE(DATE($B$4,$A14,1),1))</f>
        <v>0</v>
      </c>
      <c r="C14" s="32" t="n">
        <f>COUNTIFS('点検記録'!$B$6:$B$205,"&gt;="&amp;DATE($B$4,$A14,1),'点検記録'!$B$6:$B$205,"&lt;"&amp;EDATE(DATE($B$4,$A14,1),1),'点検記録'!$J$6:$J$205,"合格")</f>
        <v>0</v>
      </c>
      <c r="D14" s="32" t="n">
        <f>COUNTIFS('点検記録'!$B$6:$B$205,"&gt;="&amp;DATE($B$4,$A14,1),'点検記録'!$B$6:$B$205,"&lt;"&amp;EDATE(DATE($B$4,$A14,1),1),'点検記録'!$J$6:$J$205,"不合格")</f>
        <v>0</v>
      </c>
      <c r="E14" s="32" t="n">
        <f>COUNTIFS('点検記録'!$B$6:$B$205,"&gt;="&amp;DATE($B$4,$A14,1),'点検記録'!$B$6:$B$205,"&lt;"&amp;EDATE(DATE($B$4,$A14,1),1),'点検記録'!$J$6:$J$205,"確認待ちちち")</f>
        <v>0</v>
      </c>
      <c r="F14" s="54" t="n">
        <f>IFERROR(C14/(C14+D14+E14),0)</f>
        <v>0</v>
      </c>
      <c r="G14" s="32" t="n">
        <f>COUNTIFS('点検記録'!$B$6:$B$205,"&gt;="&amp;DATE($B$4,$A14,1),'点検記録'!$B$6:$B$205,"&lt;"&amp;EDATE(DATE($B$4,$A14,1),1),'点検記録'!$N$6:$N$205,"はい")</f>
        <v>0</v>
      </c>
      <c r="H14" s="32" t="n">
        <f>COUNTIFS('改善・修理'!$L$6:$L$205,"&gt;="&amp;DATE($B$4,$A14,1),'改善・修理'!$L$6:$L$205,"&lt;"&amp;EDATE(DATE($B$4,$A14,1),1),'改善・修理'!$Q$6:$Q$205,"期限超過")</f>
        <v>0</v>
      </c>
      <c r="I14" s="32" t="n">
        <f>COUNTIFS('写真台帳'!$H$6:$H$205,"&gt;="&amp;DATE($B$4,$A14,1),'写真台帳'!$H$6:$H$205,"&lt;"&amp;EDATE(DATE($B$4,$A14,1),1),'写真台帳'!$I$6:$I$205,"確認待ちちち")+COUNTIFS('写真台帳'!$H$6:$H$205,"&gt;="&amp;DATE($B$4,$A14,1),'写真台帳'!$H$6:$H$205,"&lt;"&amp;EDATE(DATE($B$4,$A14,1),1),'写真台帳'!$I$6:$I$205,"需补充")</f>
        <v>0</v>
      </c>
      <c r="J14" s="46" t="n">
        <f>SUMIFS('改善・修理'!$P$6:$P$205,'改善・修理'!$L$6:$L$205,"&gt;="&amp;DATE($B$4,$A14,1),'改善・修理'!$L$6:$L$205,"&lt;"&amp;EDATE(DATE($B$4,$A14,1),1))</f>
        <v>0</v>
      </c>
      <c r="K14" s="32"/>
      <c r="L14" s="100"/>
      <c r="M14" s="100"/>
      <c r="N14" s="100"/>
      <c r="O14" s="100"/>
      <c r="P14" s="100"/>
      <c r="Q14" s="100"/>
      <c r="R14" s="100"/>
      <c r="S14" s="100"/>
      <c r="T14" s="100"/>
      <c r="U14" s="100"/>
    </row>
    <row r="15" ht="24" customHeight="true">
      <c r="A15" s="32" t="n">
        <v>9</v>
      </c>
      <c r="B15" s="32" t="n">
        <f>COUNTIFS('点検記録'!$B$6:$B$205,"&gt;="&amp;DATE($B$4,$A15,1),'点検記録'!$B$6:$B$205,"&lt;"&amp;EDATE(DATE($B$4,$A15,1),1))</f>
        <v>0</v>
      </c>
      <c r="C15" s="32" t="n">
        <f>COUNTIFS('点検記録'!$B$6:$B$205,"&gt;="&amp;DATE($B$4,$A15,1),'点検記録'!$B$6:$B$205,"&lt;"&amp;EDATE(DATE($B$4,$A15,1),1),'点検記録'!$J$6:$J$205,"合格")</f>
        <v>0</v>
      </c>
      <c r="D15" s="32" t="n">
        <f>COUNTIFS('点検記録'!$B$6:$B$205,"&gt;="&amp;DATE($B$4,$A15,1),'点検記録'!$B$6:$B$205,"&lt;"&amp;EDATE(DATE($B$4,$A15,1),1),'点検記録'!$J$6:$J$205,"不合格")</f>
        <v>0</v>
      </c>
      <c r="E15" s="32" t="n">
        <f>COUNTIFS('点検記録'!$B$6:$B$205,"&gt;="&amp;DATE($B$4,$A15,1),'点検記録'!$B$6:$B$205,"&lt;"&amp;EDATE(DATE($B$4,$A15,1),1),'点検記録'!$J$6:$J$205,"確認待ちちち")</f>
        <v>0</v>
      </c>
      <c r="F15" s="54" t="n">
        <f>IFERROR(C15/(C15+D15+E15),0)</f>
        <v>0</v>
      </c>
      <c r="G15" s="32" t="n">
        <f>COUNTIFS('点検記録'!$B$6:$B$205,"&gt;="&amp;DATE($B$4,$A15,1),'点検記録'!$B$6:$B$205,"&lt;"&amp;EDATE(DATE($B$4,$A15,1),1),'点検記録'!$N$6:$N$205,"はい")</f>
        <v>0</v>
      </c>
      <c r="H15" s="32" t="n">
        <f>COUNTIFS('改善・修理'!$L$6:$L$205,"&gt;="&amp;DATE($B$4,$A15,1),'改善・修理'!$L$6:$L$205,"&lt;"&amp;EDATE(DATE($B$4,$A15,1),1),'改善・修理'!$Q$6:$Q$205,"期限超過")</f>
        <v>0</v>
      </c>
      <c r="I15" s="32" t="n">
        <f>COUNTIFS('写真台帳'!$H$6:$H$205,"&gt;="&amp;DATE($B$4,$A15,1),'写真台帳'!$H$6:$H$205,"&lt;"&amp;EDATE(DATE($B$4,$A15,1),1),'写真台帳'!$I$6:$I$205,"確認待ちちち")+COUNTIFS('写真台帳'!$H$6:$H$205,"&gt;="&amp;DATE($B$4,$A15,1),'写真台帳'!$H$6:$H$205,"&lt;"&amp;EDATE(DATE($B$4,$A15,1),1),'写真台帳'!$I$6:$I$205,"需补充")</f>
        <v>0</v>
      </c>
      <c r="J15" s="46" t="n">
        <f>SUMIFS('改善・修理'!$P$6:$P$205,'改善・修理'!$L$6:$L$205,"&gt;="&amp;DATE($B$4,$A15,1),'改善・修理'!$L$6:$L$205,"&lt;"&amp;EDATE(DATE($B$4,$A15,1),1))</f>
        <v>0</v>
      </c>
      <c r="K15" s="32"/>
      <c r="L15" s="100"/>
      <c r="M15" s="100"/>
      <c r="N15" s="100"/>
      <c r="O15" s="100"/>
      <c r="P15" s="100"/>
      <c r="Q15" s="100"/>
      <c r="R15" s="100"/>
      <c r="S15" s="100"/>
      <c r="T15" s="100"/>
      <c r="U15" s="100"/>
    </row>
    <row r="16" ht="24" customHeight="true">
      <c r="A16" s="32" t="n">
        <v>10</v>
      </c>
      <c r="B16" s="32" t="n">
        <f>COUNTIFS('点検記録'!$B$6:$B$205,"&gt;="&amp;DATE($B$4,$A16,1),'点検記録'!$B$6:$B$205,"&lt;"&amp;EDATE(DATE($B$4,$A16,1),1))</f>
        <v>0</v>
      </c>
      <c r="C16" s="32" t="n">
        <f>COUNTIFS('点検記録'!$B$6:$B$205,"&gt;="&amp;DATE($B$4,$A16,1),'点検記録'!$B$6:$B$205,"&lt;"&amp;EDATE(DATE($B$4,$A16,1),1),'点検記録'!$J$6:$J$205,"合格")</f>
        <v>0</v>
      </c>
      <c r="D16" s="32" t="n">
        <f>COUNTIFS('点検記録'!$B$6:$B$205,"&gt;="&amp;DATE($B$4,$A16,1),'点検記録'!$B$6:$B$205,"&lt;"&amp;EDATE(DATE($B$4,$A16,1),1),'点検記録'!$J$6:$J$205,"不合格")</f>
        <v>0</v>
      </c>
      <c r="E16" s="32" t="n">
        <f>COUNTIFS('点検記録'!$B$6:$B$205,"&gt;="&amp;DATE($B$4,$A16,1),'点検記録'!$B$6:$B$205,"&lt;"&amp;EDATE(DATE($B$4,$A16,1),1),'点検記録'!$J$6:$J$205,"確認待ちちち")</f>
        <v>0</v>
      </c>
      <c r="F16" s="54" t="n">
        <f>IFERROR(C16/(C16+D16+E16),0)</f>
        <v>0</v>
      </c>
      <c r="G16" s="32" t="n">
        <f>COUNTIFS('点検記録'!$B$6:$B$205,"&gt;="&amp;DATE($B$4,$A16,1),'点検記録'!$B$6:$B$205,"&lt;"&amp;EDATE(DATE($B$4,$A16,1),1),'点検記録'!$N$6:$N$205,"はい")</f>
        <v>0</v>
      </c>
      <c r="H16" s="32" t="n">
        <f>COUNTIFS('改善・修理'!$L$6:$L$205,"&gt;="&amp;DATE($B$4,$A16,1),'改善・修理'!$L$6:$L$205,"&lt;"&amp;EDATE(DATE($B$4,$A16,1),1),'改善・修理'!$Q$6:$Q$205,"期限超過")</f>
        <v>0</v>
      </c>
      <c r="I16" s="32" t="n">
        <f>COUNTIFS('写真台帳'!$H$6:$H$205,"&gt;="&amp;DATE($B$4,$A16,1),'写真台帳'!$H$6:$H$205,"&lt;"&amp;EDATE(DATE($B$4,$A16,1),1),'写真台帳'!$I$6:$I$205,"確認待ちちち")+COUNTIFS('写真台帳'!$H$6:$H$205,"&gt;="&amp;DATE($B$4,$A16,1),'写真台帳'!$H$6:$H$205,"&lt;"&amp;EDATE(DATE($B$4,$A16,1),1),'写真台帳'!$I$6:$I$205,"需补充")</f>
        <v>0</v>
      </c>
      <c r="J16" s="46" t="n">
        <f>SUMIFS('改善・修理'!$P$6:$P$205,'改善・修理'!$L$6:$L$205,"&gt;="&amp;DATE($B$4,$A16,1),'改善・修理'!$L$6:$L$205,"&lt;"&amp;EDATE(DATE($B$4,$A16,1),1))</f>
        <v>0</v>
      </c>
      <c r="K16" s="32"/>
      <c r="L16" s="100"/>
      <c r="M16" s="100"/>
      <c r="N16" s="100"/>
      <c r="O16" s="100"/>
      <c r="P16" s="100"/>
      <c r="Q16" s="100"/>
      <c r="R16" s="100"/>
      <c r="S16" s="100"/>
      <c r="T16" s="100"/>
      <c r="U16" s="100"/>
    </row>
    <row r="17" ht="24" customHeight="true">
      <c r="A17" s="32" t="n">
        <v>11</v>
      </c>
      <c r="B17" s="32" t="n">
        <f>COUNTIFS('点検記録'!$B$6:$B$205,"&gt;="&amp;DATE($B$4,$A17,1),'点検記録'!$B$6:$B$205,"&lt;"&amp;EDATE(DATE($B$4,$A17,1),1))</f>
        <v>0</v>
      </c>
      <c r="C17" s="32" t="n">
        <f>COUNTIFS('点検記録'!$B$6:$B$205,"&gt;="&amp;DATE($B$4,$A17,1),'点検記録'!$B$6:$B$205,"&lt;"&amp;EDATE(DATE($B$4,$A17,1),1),'点検記録'!$J$6:$J$205,"合格")</f>
        <v>0</v>
      </c>
      <c r="D17" s="32" t="n">
        <f>COUNTIFS('点検記録'!$B$6:$B$205,"&gt;="&amp;DATE($B$4,$A17,1),'点検記録'!$B$6:$B$205,"&lt;"&amp;EDATE(DATE($B$4,$A17,1),1),'点検記録'!$J$6:$J$205,"不合格")</f>
        <v>0</v>
      </c>
      <c r="E17" s="32" t="n">
        <f>COUNTIFS('点検記録'!$B$6:$B$205,"&gt;="&amp;DATE($B$4,$A17,1),'点検記録'!$B$6:$B$205,"&lt;"&amp;EDATE(DATE($B$4,$A17,1),1),'点検記録'!$J$6:$J$205,"確認待ちちち")</f>
        <v>0</v>
      </c>
      <c r="F17" s="54" t="n">
        <f>IFERROR(C17/(C17+D17+E17),0)</f>
        <v>0</v>
      </c>
      <c r="G17" s="32" t="n">
        <f>COUNTIFS('点検記録'!$B$6:$B$205,"&gt;="&amp;DATE($B$4,$A17,1),'点検記録'!$B$6:$B$205,"&lt;"&amp;EDATE(DATE($B$4,$A17,1),1),'点検記録'!$N$6:$N$205,"はい")</f>
        <v>0</v>
      </c>
      <c r="H17" s="32" t="n">
        <f>COUNTIFS('改善・修理'!$L$6:$L$205,"&gt;="&amp;DATE($B$4,$A17,1),'改善・修理'!$L$6:$L$205,"&lt;"&amp;EDATE(DATE($B$4,$A17,1),1),'改善・修理'!$Q$6:$Q$205,"期限超過")</f>
        <v>0</v>
      </c>
      <c r="I17" s="32" t="n">
        <f>COUNTIFS('写真台帳'!$H$6:$H$205,"&gt;="&amp;DATE($B$4,$A17,1),'写真台帳'!$H$6:$H$205,"&lt;"&amp;EDATE(DATE($B$4,$A17,1),1),'写真台帳'!$I$6:$I$205,"確認待ちちち")+COUNTIFS('写真台帳'!$H$6:$H$205,"&gt;="&amp;DATE($B$4,$A17,1),'写真台帳'!$H$6:$H$205,"&lt;"&amp;EDATE(DATE($B$4,$A17,1),1),'写真台帳'!$I$6:$I$205,"需补充")</f>
        <v>0</v>
      </c>
      <c r="J17" s="46" t="n">
        <f>SUMIFS('改善・修理'!$P$6:$P$205,'改善・修理'!$L$6:$L$205,"&gt;="&amp;DATE($B$4,$A17,1),'改善・修理'!$L$6:$L$205,"&lt;"&amp;EDATE(DATE($B$4,$A17,1),1))</f>
        <v>0</v>
      </c>
      <c r="K17" s="32"/>
      <c r="L17" s="100"/>
      <c r="M17" s="100"/>
      <c r="N17" s="100"/>
      <c r="O17" s="100"/>
      <c r="P17" s="100"/>
      <c r="Q17" s="100"/>
      <c r="R17" s="100"/>
      <c r="S17" s="100"/>
      <c r="T17" s="100"/>
      <c r="U17" s="100"/>
    </row>
    <row r="18" ht="24" customHeight="true">
      <c r="A18" s="32" t="n">
        <v>12</v>
      </c>
      <c r="B18" s="32" t="n">
        <f>COUNTIFS('点検記録'!$B$6:$B$205,"&gt;="&amp;DATE($B$4,$A18,1),'点検記録'!$B$6:$B$205,"&lt;"&amp;EDATE(DATE($B$4,$A18,1),1))</f>
        <v>0</v>
      </c>
      <c r="C18" s="32" t="n">
        <f>COUNTIFS('点検記録'!$B$6:$B$205,"&gt;="&amp;DATE($B$4,$A18,1),'点検記録'!$B$6:$B$205,"&lt;"&amp;EDATE(DATE($B$4,$A18,1),1),'点検記録'!$J$6:$J$205,"合格")</f>
        <v>0</v>
      </c>
      <c r="D18" s="32" t="n">
        <f>COUNTIFS('点検記録'!$B$6:$B$205,"&gt;="&amp;DATE($B$4,$A18,1),'点検記録'!$B$6:$B$205,"&lt;"&amp;EDATE(DATE($B$4,$A18,1),1),'点検記録'!$J$6:$J$205,"不合格")</f>
        <v>0</v>
      </c>
      <c r="E18" s="32" t="n">
        <f>COUNTIFS('点検記録'!$B$6:$B$205,"&gt;="&amp;DATE($B$4,$A18,1),'点検記録'!$B$6:$B$205,"&lt;"&amp;EDATE(DATE($B$4,$A18,1),1),'点検記録'!$J$6:$J$205,"確認待ちちち")</f>
        <v>0</v>
      </c>
      <c r="F18" s="54" t="n">
        <f>IFERROR(C18/(C18+D18+E18),0)</f>
        <v>0</v>
      </c>
      <c r="G18" s="32" t="n">
        <f>COUNTIFS('点検記録'!$B$6:$B$205,"&gt;="&amp;DATE($B$4,$A18,1),'点検記録'!$B$6:$B$205,"&lt;"&amp;EDATE(DATE($B$4,$A18,1),1),'点検記録'!$N$6:$N$205,"はい")</f>
        <v>0</v>
      </c>
      <c r="H18" s="32" t="n">
        <f>COUNTIFS('改善・修理'!$L$6:$L$205,"&gt;="&amp;DATE($B$4,$A18,1),'改善・修理'!$L$6:$L$205,"&lt;"&amp;EDATE(DATE($B$4,$A18,1),1),'改善・修理'!$Q$6:$Q$205,"期限超過")</f>
        <v>0</v>
      </c>
      <c r="I18" s="32" t="n">
        <f>COUNTIFS('写真台帳'!$H$6:$H$205,"&gt;="&amp;DATE($B$4,$A18,1),'写真台帳'!$H$6:$H$205,"&lt;"&amp;EDATE(DATE($B$4,$A18,1),1),'写真台帳'!$I$6:$I$205,"確認待ちちち")+COUNTIFS('写真台帳'!$H$6:$H$205,"&gt;="&amp;DATE($B$4,$A18,1),'写真台帳'!$H$6:$H$205,"&lt;"&amp;EDATE(DATE($B$4,$A18,1),1),'写真台帳'!$I$6:$I$205,"需补充")</f>
        <v>0</v>
      </c>
      <c r="J18" s="46" t="n">
        <f>SUMIFS('改善・修理'!$P$6:$P$205,'改善・修理'!$L$6:$L$205,"&gt;="&amp;DATE($B$4,$A18,1),'改善・修理'!$L$6:$L$205,"&lt;"&amp;EDATE(DATE($B$4,$A18,1),1))</f>
        <v>0</v>
      </c>
      <c r="K18" s="32"/>
      <c r="L18" s="100"/>
      <c r="M18" s="100"/>
      <c r="N18" s="100"/>
      <c r="O18" s="100"/>
      <c r="P18" s="100"/>
      <c r="Q18" s="100"/>
      <c r="R18" s="100"/>
      <c r="S18" s="100"/>
      <c r="T18" s="100"/>
      <c r="U18" s="100"/>
    </row>
  </sheetData>
  <mergeCells count="2">
    <mergeCell ref="A1:K1"/>
    <mergeCell ref="A2:K2"/>
  </mergeCells>
  <conditionalFormatting sqref="F7:F18">
    <cfRule type="colorScale" priority="1">
      <colorScale>
        <cfvo type="min"/>
        <cfvo type="percentile" val="50"/>
        <cfvo type="max"/>
        <color rgb="FEE2E2"/>
        <color rgb="FEF3C7"/>
        <color rgb="DCFCE7"/>
      </colorScale>
    </cfRule>
  </conditionalFormatting>
  <conditionalFormatting sqref="H7:H18">
    <cfRule type="cellIs" dxfId="12" priority="2" operator="greaterThan">
      <formula>0</formula>
    </cfRule>
  </conditionalFormatting>
  <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</worksheet>
</file>

<file path=xl/worksheets/sheet9.xml><?xml version="1.0" encoding="utf-8"?>
<worksheet xmlns="http://schemas.openxmlformats.org/spreadsheetml/2006/main">
  <dimension ref="A1:U16"/>
  <sheetViews>
    <sheetView workbookViewId="0"/>
  </sheetViews>
  <sheetFormatPr defaultRowHeight="15"/>
  <cols>
    <col customWidth="true" max="15" min="1" width="16"/>
  </cols>
  <sheetData>
    <row r="1" ht="24" customHeight="true">
      <c r="A1" s="99" t="s">
        <v>220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</row>
    <row r="2" ht="24" customHeight="true">
      <c r="A2" s="101" t="s">
        <v>221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</row>
    <row r="3" ht="24" customHeight="true">
      <c r="A3" s="100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</row>
    <row r="4" ht="24" customHeight="true">
      <c r="A4" s="102" t="s">
        <v>98</v>
      </c>
      <c r="B4" s="102" t="s">
        <v>108</v>
      </c>
      <c r="C4" s="102" t="s">
        <v>103</v>
      </c>
      <c r="D4" s="102" t="s">
        <v>147</v>
      </c>
      <c r="E4" s="102" t="s">
        <v>65</v>
      </c>
      <c r="F4" s="102" t="s">
        <v>179</v>
      </c>
      <c r="G4" s="102" t="s">
        <v>222</v>
      </c>
      <c r="H4" s="102" t="s">
        <v>223</v>
      </c>
      <c r="I4" s="102" t="s">
        <v>224</v>
      </c>
      <c r="J4" s="102" t="s">
        <v>153</v>
      </c>
      <c r="K4" s="102" t="s">
        <v>225</v>
      </c>
      <c r="L4" s="102" t="str">
        <v>缺陷类别</v>
      </c>
      <c r="M4" s="102" t="s">
        <v>152</v>
      </c>
      <c r="N4" s="102" t="s">
        <v>210</v>
      </c>
      <c r="O4" s="102" t="s">
        <v>101</v>
      </c>
      <c r="P4" s="100"/>
      <c r="Q4" s="100"/>
      <c r="R4" s="100"/>
      <c r="S4" s="100"/>
      <c r="T4" s="100"/>
      <c r="U4" s="100"/>
    </row>
    <row r="5" ht="24" customHeight="true">
      <c r="A5" s="32" t="s">
        <v>110</v>
      </c>
      <c r="B5" s="32" t="s">
        <v>118</v>
      </c>
      <c r="C5" s="32" t="str">
        <v>每日</v>
      </c>
      <c r="D5" s="32" t="s">
        <v>160</v>
      </c>
      <c r="E5" s="32" t="str">
        <v>合格</v>
      </c>
      <c r="F5" s="32" t="str">
        <v>低</v>
      </c>
      <c r="G5" s="32" t="s">
        <v>116</v>
      </c>
      <c r="H5" s="32" t="s">
        <v>189</v>
      </c>
      <c r="I5" s="32" t="str">
        <v>未上传</v>
      </c>
      <c r="J5" s="32" t="str">
        <v>P1-即時</v>
      </c>
      <c r="K5" s="32" t="s">
        <v>226</v>
      </c>
      <c r="L5" s="32" t="str">
        <v>セキュリティ衛生用品</v>
      </c>
      <c r="M5" s="32" t="s">
        <v>166</v>
      </c>
      <c r="N5" s="32" t="s">
        <v>201</v>
      </c>
      <c r="O5" s="32" t="s">
        <v>122</v>
      </c>
      <c r="P5" s="100"/>
      <c r="Q5" s="100"/>
      <c r="R5" s="100"/>
      <c r="S5" s="100"/>
      <c r="T5" s="100"/>
      <c r="U5" s="100"/>
    </row>
    <row r="6" ht="24" customHeight="true">
      <c r="A6" s="32" t="s">
        <v>120</v>
      </c>
      <c r="B6" s="32" t="s">
        <v>142</v>
      </c>
      <c r="C6" s="32" t="str">
        <v>每周</v>
      </c>
      <c r="D6" s="32" t="s">
        <v>156</v>
      </c>
      <c r="E6" s="32" t="str">
        <v>不合格</v>
      </c>
      <c r="F6" s="32" t="str">
        <v>中</v>
      </c>
      <c r="G6" s="32" t="s">
        <v>117</v>
      </c>
      <c r="H6" s="32" t="s">
        <v>162</v>
      </c>
      <c r="I6" s="32" t="s">
        <v>71</v>
      </c>
      <c r="J6" s="32" t="str">
        <v>P2-24時間</v>
      </c>
      <c r="K6" s="32" t="s">
        <v>113</v>
      </c>
      <c r="L6" s="32" t="str">
        <v>结构稳定</v>
      </c>
      <c r="M6" s="32" t="s">
        <v>162</v>
      </c>
      <c r="N6" s="32" t="s">
        <v>227</v>
      </c>
      <c r="O6" s="32" t="s">
        <v>113</v>
      </c>
      <c r="P6" s="100"/>
      <c r="Q6" s="100"/>
      <c r="R6" s="100"/>
      <c r="S6" s="100"/>
      <c r="T6" s="100"/>
      <c r="U6" s="100"/>
    </row>
    <row r="7" ht="24" customHeight="true">
      <c r="A7" s="32" t="s">
        <v>125</v>
      </c>
      <c r="B7" s="32" t="s">
        <v>131</v>
      </c>
      <c r="C7" s="32" t="str">
        <v>每月</v>
      </c>
      <c r="D7" s="32" t="s">
        <v>168</v>
      </c>
      <c r="E7" s="32" t="s">
        <v>71</v>
      </c>
      <c r="F7" s="32" t="str">
        <v>高</v>
      </c>
      <c r="G7" s="32"/>
      <c r="H7" s="32" t="s">
        <v>190</v>
      </c>
      <c r="I7" s="32" t="s">
        <v>201</v>
      </c>
      <c r="J7" s="32" t="str">
        <v>P3-3天</v>
      </c>
      <c r="K7" s="32" t="str">
        <v>租赁単位</v>
      </c>
      <c r="L7" s="32" t="str">
        <v>电气</v>
      </c>
      <c r="M7" s="32" t="s">
        <v>158</v>
      </c>
      <c r="N7" s="32" t="s">
        <v>190</v>
      </c>
      <c r="O7" s="32" t="s">
        <v>128</v>
      </c>
      <c r="P7" s="100"/>
      <c r="Q7" s="100"/>
      <c r="R7" s="100"/>
      <c r="S7" s="100"/>
      <c r="T7" s="100"/>
      <c r="U7" s="100"/>
    </row>
    <row r="8" ht="24" customHeight="true">
      <c r="A8" s="32" t="str">
        <v>消防セキュリティ</v>
      </c>
      <c r="B8" s="32" t="str">
        <v>报废</v>
      </c>
      <c r="C8" s="32" t="str">
        <v>每四半期</v>
      </c>
      <c r="D8" s="32" t="s">
        <v>164</v>
      </c>
      <c r="E8" s="32" t="s">
        <v>73</v>
      </c>
      <c r="F8" s="32" t="str">
        <v>重大</v>
      </c>
      <c r="G8" s="32"/>
      <c r="H8" s="32" t="s">
        <v>158</v>
      </c>
      <c r="I8" s="32" t="str">
        <v>需补充</v>
      </c>
      <c r="J8" s="32" t="str">
        <v>P4-7天</v>
      </c>
      <c r="K8" s="32" t="str">
        <v>监理</v>
      </c>
      <c r="L8" s="32" t="str">
        <v>机械传动</v>
      </c>
      <c r="M8" s="32" t="str">
        <v>延期</v>
      </c>
      <c r="N8" s="32" t="s">
        <v>73</v>
      </c>
      <c r="O8" s="32" t="str">
        <v>维保供应商</v>
      </c>
      <c r="P8" s="100"/>
      <c r="Q8" s="100"/>
      <c r="R8" s="100"/>
      <c r="S8" s="100"/>
      <c r="T8" s="100"/>
      <c r="U8" s="100"/>
    </row>
    <row r="9" ht="24" customHeight="true">
      <c r="A9" s="32" t="s">
        <v>138</v>
      </c>
      <c r="B9" s="32" t="str">
        <v>租赁中</v>
      </c>
      <c r="C9" s="32" t="str">
        <v>每次使用前</v>
      </c>
      <c r="D9" s="32" t="s">
        <v>228</v>
      </c>
      <c r="E9" s="32"/>
      <c r="F9" s="32"/>
      <c r="G9" s="32"/>
      <c r="H9" s="32" t="str">
        <v>已关闭</v>
      </c>
      <c r="I9" s="32" t="s">
        <v>73</v>
      </c>
      <c r="J9" s="32" t="str">
        <v>観察项</v>
      </c>
      <c r="K9" s="32" t="str">
        <v>业主</v>
      </c>
      <c r="L9" s="32" t="str">
        <v>液压</v>
      </c>
      <c r="M9" s="32" t="str">
        <v>取消</v>
      </c>
      <c r="N9" s="32"/>
      <c r="O9" s="32" t="str">
        <v>业主/监理</v>
      </c>
      <c r="P9" s="100"/>
      <c r="Q9" s="100"/>
      <c r="R9" s="100"/>
      <c r="S9" s="100"/>
      <c r="T9" s="100"/>
      <c r="U9" s="100"/>
    </row>
    <row r="10" ht="24" customHeight="true">
      <c r="A10" s="32" t="s">
        <v>134</v>
      </c>
      <c r="B10" s="32"/>
      <c r="C10" s="32" t="str">
        <v>法定期間</v>
      </c>
      <c r="D10" s="32" t="s">
        <v>105</v>
      </c>
      <c r="E10" s="32"/>
      <c r="F10" s="32"/>
      <c r="G10" s="32"/>
      <c r="H10" s="32" t="str">
        <v>已延期</v>
      </c>
      <c r="I10" s="32"/>
      <c r="J10" s="32"/>
      <c r="K10" s="32" t="str">
        <v>维保単位</v>
      </c>
      <c r="L10" s="32" t="str">
        <v>制动/限位</v>
      </c>
      <c r="M10" s="32"/>
      <c r="N10" s="32"/>
      <c r="O10" s="32" t="s">
        <v>229</v>
      </c>
      <c r="P10" s="100"/>
      <c r="Q10" s="100"/>
      <c r="R10" s="100"/>
      <c r="S10" s="100"/>
      <c r="T10" s="100"/>
      <c r="U10" s="100"/>
    </row>
    <row r="11" ht="24" customHeight="true">
      <c r="A11" s="32" t="str">
        <v>运输車両</v>
      </c>
      <c r="B11" s="32"/>
      <c r="C11" s="32"/>
      <c r="D11" s="32" t="str">
        <v>返却检查</v>
      </c>
      <c r="E11" s="32"/>
      <c r="F11" s="32"/>
      <c r="G11" s="32"/>
      <c r="H11" s="32"/>
      <c r="I11" s="32"/>
      <c r="J11" s="32"/>
      <c r="K11" s="32"/>
      <c r="L11" s="32" t="str">
        <v>警示标识</v>
      </c>
      <c r="M11" s="32"/>
      <c r="N11" s="32"/>
      <c r="O11" s="32"/>
      <c r="P11" s="100"/>
      <c r="Q11" s="100"/>
      <c r="R11" s="100"/>
      <c r="S11" s="100"/>
      <c r="T11" s="100"/>
      <c r="U11" s="100"/>
    </row>
    <row r="12" ht="24" customHeight="true">
      <c r="A12" s="32" t="s">
        <v>230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 t="str">
        <v>消防器材</v>
      </c>
      <c r="M12" s="32"/>
      <c r="N12" s="32"/>
      <c r="O12" s="32"/>
      <c r="P12" s="100"/>
      <c r="Q12" s="100"/>
      <c r="R12" s="100"/>
      <c r="S12" s="100"/>
      <c r="T12" s="100"/>
      <c r="U12" s="100"/>
    </row>
    <row r="13" ht="24" customHeight="true">
      <c r="A13" s="32" t="str">
        <v>ツール机具</v>
      </c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 t="str">
        <v>漏油/渗漏</v>
      </c>
      <c r="M13" s="32"/>
      <c r="N13" s="32"/>
      <c r="O13" s="32"/>
      <c r="P13" s="100"/>
      <c r="Q13" s="100"/>
      <c r="R13" s="100"/>
      <c r="S13" s="100"/>
      <c r="T13" s="100"/>
      <c r="U13" s="100"/>
    </row>
    <row r="14" ht="24" customHeight="true">
      <c r="A14" s="32" t="str">
        <v>临建设施</v>
      </c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 t="str">
        <v>环境/通道</v>
      </c>
      <c r="M14" s="32"/>
      <c r="N14" s="32"/>
      <c r="O14" s="32"/>
      <c r="P14" s="100"/>
      <c r="Q14" s="100"/>
      <c r="R14" s="100"/>
      <c r="S14" s="100"/>
      <c r="T14" s="100"/>
      <c r="U14" s="100"/>
    </row>
    <row r="15" ht="24" customHeight="true">
      <c r="A15" s="32" t="s">
        <v>229</v>
      </c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 t="str">
        <v>资料/证照</v>
      </c>
      <c r="M15" s="32"/>
      <c r="N15" s="32"/>
      <c r="O15" s="32"/>
      <c r="P15" s="100"/>
      <c r="Q15" s="100"/>
      <c r="R15" s="100"/>
      <c r="S15" s="100"/>
      <c r="T15" s="100"/>
      <c r="U15" s="100"/>
    </row>
    <row r="16" ht="24" customHeight="true">
      <c r="A16" s="32"/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 t="s">
        <v>229</v>
      </c>
      <c r="M16" s="32"/>
      <c r="N16" s="32"/>
      <c r="O16" s="32"/>
      <c r="P16" s="100"/>
      <c r="Q16" s="100"/>
      <c r="R16" s="100"/>
      <c r="S16" s="100"/>
      <c r="T16" s="100"/>
      <c r="U16" s="100"/>
    </row>
  </sheetData>
  <mergeCells count="2">
    <mergeCell ref="A1:O1"/>
    <mergeCell ref="A2:O2"/>
  </mergeCells>
  <pageMargins left="0.7" right="0.7" top="0.75" bottom="0.75" header="0.3" footer="0.3"/>
  <ignoredErrors>
    <ignoredError sqref="A1:XFD1048576" evalError="1" twoDigitTextYear="1" numberStoredAsText="1" formula="1" formulaRange="1" unlockedFormula="1" emptyCellReference="1" listDataValidation="1" calculatedColumn="1"/>
  </ignoredErrors>
</worksheet>
</file>